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600" windowHeight="9735" tabRatio="601" activeTab="2"/>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MOF'!$A$2:$G$35</definedName>
    <definedName name="_xlnm.Print_Area" localSheetId="10">'10.Grain Production details'!$A$1:$Z$119</definedName>
    <definedName name="_xlnm.Print_Area" localSheetId="11">'11.F&amp;V Crop Production details'!$A$1:$Z$132</definedName>
    <definedName name="_xlnm.Print_Area" localSheetId="12">'12.Facility 1 - Trading'!$A$1:$J$313</definedName>
    <definedName name="_xlnm.Print_Area" localSheetId="13">'13.Facility 2 Grain Processing'!$A$3:$J$190</definedName>
    <definedName name="_xlnm.Print_Area" localSheetId="14">'14. Facility 3 Warehouse'!$A$1:$K$56</definedName>
    <definedName name="_xlnm.Print_Area" localSheetId="15">'15. Facility 4 Custom Hiring'!$A$1:$U$62</definedName>
    <definedName name="_xlnm.Print_Area" localSheetId="16">'16.Facility 5 Agri Input'!$A$1:$J$284</definedName>
    <definedName name="_xlnm.Print_Area" localSheetId="17">'17.Facility 6 Horti Processing '!$A$1:$J$197</definedName>
    <definedName name="_xlnm.Print_Area" localSheetId="2">'2.Capex Details'!$A$1:$H$128</definedName>
    <definedName name="_xlnm.Print_Area" localSheetId="3">'3.Other Exp &amp; Taxes'!$A$1:$R$105</definedName>
    <definedName name="_xlnm.Print_Area" localSheetId="4">'4.TL repayment sch'!$A$1:$H$98</definedName>
    <definedName name="_xlnm.Print_Area" localSheetId="5">'5.Closing Stock &amp; W Capital'!$A$1:$L$58</definedName>
    <definedName name="_xlnm.Print_Area" localSheetId="6">'6.Cons Profit &amp; Loss'!$A$1:$I$51</definedName>
    <definedName name="_xlnm.Print_Area" localSheetId="7">'7.Balance Sheet'!$A$1:$I$49</definedName>
    <definedName name="_xlnm.Print_Area" localSheetId="8">'8.Cash Flow '!$A$1:$J$35</definedName>
    <definedName name="_xlnm.Print_Area" localSheetId="9">'9. Financial indiacators'!$B$1:$M$186</definedName>
  </definedNames>
  <calcPr calcId="152511" concurrentCalc="0"/>
</workbook>
</file>

<file path=xl/calcChain.xml><?xml version="1.0" encoding="utf-8"?>
<calcChain xmlns="http://schemas.openxmlformats.org/spreadsheetml/2006/main">
  <c r="F57" i="57" l="1"/>
  <c r="B5" i="72"/>
  <c r="B7" i="81"/>
  <c r="B9" i="81"/>
  <c r="D14" i="81"/>
  <c r="F14" i="81"/>
  <c r="H14" i="81"/>
  <c r="B42" i="81"/>
  <c r="B11" i="55"/>
  <c r="B63" i="55"/>
  <c r="B68" i="55"/>
  <c r="B120" i="55"/>
  <c r="D178" i="55"/>
  <c r="D15" i="81"/>
  <c r="F15" i="81"/>
  <c r="H15" i="81"/>
  <c r="B43" i="81"/>
  <c r="B12" i="55"/>
  <c r="B69" i="55"/>
  <c r="B121" i="55"/>
  <c r="D179" i="55"/>
  <c r="D16" i="81"/>
  <c r="F16" i="81"/>
  <c r="H16" i="81"/>
  <c r="B44" i="81"/>
  <c r="B13" i="55"/>
  <c r="B70" i="55"/>
  <c r="B122" i="55"/>
  <c r="D180" i="55"/>
  <c r="D17" i="81"/>
  <c r="F17" i="81"/>
  <c r="H17" i="81"/>
  <c r="B45" i="81"/>
  <c r="B14" i="55"/>
  <c r="B71" i="55"/>
  <c r="B123" i="55"/>
  <c r="D181" i="55"/>
  <c r="D18" i="81"/>
  <c r="F18" i="81"/>
  <c r="H18" i="81"/>
  <c r="B46" i="81"/>
  <c r="B15" i="55"/>
  <c r="B72" i="55"/>
  <c r="B124" i="55"/>
  <c r="D182" i="55"/>
  <c r="D19" i="81"/>
  <c r="F19" i="81"/>
  <c r="H19" i="81"/>
  <c r="B47" i="81"/>
  <c r="B16" i="55"/>
  <c r="B73" i="55"/>
  <c r="B125" i="55"/>
  <c r="D183" i="55"/>
  <c r="D20" i="81"/>
  <c r="F20" i="81"/>
  <c r="H20" i="81"/>
  <c r="B48" i="81"/>
  <c r="B17" i="55"/>
  <c r="B74" i="55"/>
  <c r="B126" i="55"/>
  <c r="D184" i="55"/>
  <c r="D21" i="81"/>
  <c r="F21" i="81"/>
  <c r="H21" i="81"/>
  <c r="B49" i="81"/>
  <c r="B18" i="55"/>
  <c r="B75" i="55"/>
  <c r="B127" i="55"/>
  <c r="D185" i="55"/>
  <c r="D22" i="81"/>
  <c r="F22" i="81"/>
  <c r="H22" i="81"/>
  <c r="B50" i="81"/>
  <c r="B19" i="55"/>
  <c r="B76" i="55"/>
  <c r="B128" i="55"/>
  <c r="D186" i="55"/>
  <c r="C23" i="81"/>
  <c r="D24" i="81"/>
  <c r="F24" i="81"/>
  <c r="H24" i="81"/>
  <c r="B51" i="81"/>
  <c r="B20" i="55"/>
  <c r="B77" i="55"/>
  <c r="B129" i="55"/>
  <c r="D187" i="55"/>
  <c r="D25" i="81"/>
  <c r="F25" i="81"/>
  <c r="H25" i="81"/>
  <c r="B52" i="81"/>
  <c r="B21" i="55"/>
  <c r="B78" i="55"/>
  <c r="B130" i="55"/>
  <c r="D188" i="55"/>
  <c r="D26" i="81"/>
  <c r="F26" i="81"/>
  <c r="H26" i="81"/>
  <c r="B53" i="81"/>
  <c r="B22" i="55"/>
  <c r="B79" i="55"/>
  <c r="B131" i="55"/>
  <c r="D189" i="55"/>
  <c r="D27" i="81"/>
  <c r="F27" i="81"/>
  <c r="H27" i="81"/>
  <c r="B54" i="81"/>
  <c r="B23" i="55"/>
  <c r="B80" i="55"/>
  <c r="B132" i="55"/>
  <c r="D190" i="55"/>
  <c r="D28" i="81"/>
  <c r="F28" i="81"/>
  <c r="H28" i="81"/>
  <c r="B55" i="81"/>
  <c r="B24" i="55"/>
  <c r="B81" i="55"/>
  <c r="B133" i="55"/>
  <c r="D191" i="55"/>
  <c r="D29" i="81"/>
  <c r="F29" i="81"/>
  <c r="H29" i="81"/>
  <c r="B56" i="81"/>
  <c r="B25" i="55"/>
  <c r="B82" i="55"/>
  <c r="B134" i="55"/>
  <c r="D192" i="55"/>
  <c r="D30" i="81"/>
  <c r="F30" i="81"/>
  <c r="H30" i="81"/>
  <c r="B57" i="81"/>
  <c r="B26" i="55"/>
  <c r="B83" i="55"/>
  <c r="B135" i="55"/>
  <c r="D193" i="55"/>
  <c r="D31" i="81"/>
  <c r="F31" i="81"/>
  <c r="H31" i="81"/>
  <c r="B58" i="81"/>
  <c r="B27" i="55"/>
  <c r="B84" i="55"/>
  <c r="B136" i="55"/>
  <c r="D194" i="55"/>
  <c r="C32" i="81"/>
  <c r="D33" i="81"/>
  <c r="F33" i="81"/>
  <c r="H33" i="81"/>
  <c r="B59" i="81"/>
  <c r="B28" i="55"/>
  <c r="B85" i="55"/>
  <c r="B137" i="55"/>
  <c r="D195" i="55"/>
  <c r="D34" i="81"/>
  <c r="F34" i="81"/>
  <c r="H34" i="81"/>
  <c r="B60" i="81"/>
  <c r="B29" i="55"/>
  <c r="B86" i="55"/>
  <c r="B138" i="55"/>
  <c r="D196" i="55"/>
  <c r="D35" i="81"/>
  <c r="F35" i="81"/>
  <c r="H35" i="81"/>
  <c r="B61" i="81"/>
  <c r="B30" i="55"/>
  <c r="B87" i="55"/>
  <c r="B139" i="55"/>
  <c r="D197" i="55"/>
  <c r="D36" i="81"/>
  <c r="F36" i="81"/>
  <c r="H36" i="81"/>
  <c r="B62" i="81"/>
  <c r="B31" i="55"/>
  <c r="B88" i="55"/>
  <c r="B140" i="55"/>
  <c r="D198" i="55"/>
  <c r="B32" i="55"/>
  <c r="B33" i="55"/>
  <c r="B65" i="55"/>
  <c r="D200" i="55"/>
  <c r="B89" i="55"/>
  <c r="B141" i="55"/>
  <c r="D199" i="55"/>
  <c r="B7" i="83"/>
  <c r="B9" i="83"/>
  <c r="D14" i="83"/>
  <c r="F14" i="83"/>
  <c r="H14" i="83"/>
  <c r="B46" i="83"/>
  <c r="B35" i="55"/>
  <c r="B92" i="55"/>
  <c r="B144" i="55"/>
  <c r="D203" i="55"/>
  <c r="D15" i="83"/>
  <c r="F15" i="83"/>
  <c r="H15" i="83"/>
  <c r="B47" i="83"/>
  <c r="B36" i="55"/>
  <c r="B93" i="55"/>
  <c r="B145" i="55"/>
  <c r="D204" i="55"/>
  <c r="D16" i="83"/>
  <c r="F16" i="83"/>
  <c r="H16" i="83"/>
  <c r="B48" i="83"/>
  <c r="B37" i="55"/>
  <c r="B94" i="55"/>
  <c r="B146" i="55"/>
  <c r="D205" i="55"/>
  <c r="D17" i="83"/>
  <c r="F17" i="83"/>
  <c r="H17" i="83"/>
  <c r="B49" i="83"/>
  <c r="B38" i="55"/>
  <c r="B95" i="55"/>
  <c r="B147" i="55"/>
  <c r="D206" i="55"/>
  <c r="D18" i="83"/>
  <c r="F18" i="83"/>
  <c r="H18" i="83"/>
  <c r="B50" i="83"/>
  <c r="B39" i="55"/>
  <c r="B96" i="55"/>
  <c r="B148" i="55"/>
  <c r="D207" i="55"/>
  <c r="D19" i="83"/>
  <c r="F19" i="83"/>
  <c r="H19" i="83"/>
  <c r="B51" i="83"/>
  <c r="B40" i="55"/>
  <c r="B97" i="55"/>
  <c r="B149" i="55"/>
  <c r="D208" i="55"/>
  <c r="D20" i="83"/>
  <c r="F20" i="83"/>
  <c r="H20" i="83"/>
  <c r="B52" i="83"/>
  <c r="B41" i="55"/>
  <c r="B98" i="55"/>
  <c r="B150" i="55"/>
  <c r="D209" i="55"/>
  <c r="D21" i="83"/>
  <c r="F21" i="83"/>
  <c r="H21" i="83"/>
  <c r="B53" i="83"/>
  <c r="B42" i="55"/>
  <c r="B99" i="55"/>
  <c r="B151" i="55"/>
  <c r="D210" i="55"/>
  <c r="D22" i="83"/>
  <c r="F22" i="83"/>
  <c r="H22" i="83"/>
  <c r="B54" i="83"/>
  <c r="B43" i="55"/>
  <c r="B100" i="55"/>
  <c r="B152" i="55"/>
  <c r="D211" i="55"/>
  <c r="C23" i="83"/>
  <c r="D24" i="83"/>
  <c r="F24" i="83"/>
  <c r="H24" i="83"/>
  <c r="B55" i="83"/>
  <c r="B44" i="55"/>
  <c r="B101" i="55"/>
  <c r="B153" i="55"/>
  <c r="D212" i="55"/>
  <c r="D25" i="83"/>
  <c r="F25" i="83"/>
  <c r="H25" i="83"/>
  <c r="B56" i="83"/>
  <c r="B45" i="55"/>
  <c r="B102" i="55"/>
  <c r="B154" i="55"/>
  <c r="D213" i="55"/>
  <c r="D26" i="83"/>
  <c r="F26" i="83"/>
  <c r="H26" i="83"/>
  <c r="B57" i="83"/>
  <c r="B46" i="55"/>
  <c r="B103" i="55"/>
  <c r="B155" i="55"/>
  <c r="D214" i="55"/>
  <c r="D27" i="83"/>
  <c r="F27" i="83"/>
  <c r="H27" i="83"/>
  <c r="B58" i="83"/>
  <c r="B47" i="55"/>
  <c r="B104" i="55"/>
  <c r="B156" i="55"/>
  <c r="D215" i="55"/>
  <c r="D28" i="83"/>
  <c r="F28" i="83"/>
  <c r="H28" i="83"/>
  <c r="B59" i="83"/>
  <c r="B48" i="55"/>
  <c r="B105" i="55"/>
  <c r="B157" i="55"/>
  <c r="D216" i="55"/>
  <c r="D29" i="83"/>
  <c r="F29" i="83"/>
  <c r="H29" i="83"/>
  <c r="B60" i="83"/>
  <c r="B49" i="55"/>
  <c r="B106" i="55"/>
  <c r="B158" i="55"/>
  <c r="D217" i="55"/>
  <c r="D30" i="83"/>
  <c r="F30" i="83"/>
  <c r="H30" i="83"/>
  <c r="B61" i="83"/>
  <c r="B50" i="55"/>
  <c r="B107" i="55"/>
  <c r="B159" i="55"/>
  <c r="D218" i="55"/>
  <c r="D31" i="83"/>
  <c r="F31" i="83"/>
  <c r="H31" i="83"/>
  <c r="B62" i="83"/>
  <c r="B51" i="55"/>
  <c r="B108" i="55"/>
  <c r="B160" i="55"/>
  <c r="D219" i="55"/>
  <c r="C32" i="83"/>
  <c r="D33" i="83"/>
  <c r="F33" i="83"/>
  <c r="H33" i="83"/>
  <c r="B63" i="83"/>
  <c r="B52" i="55"/>
  <c r="B109" i="55"/>
  <c r="B161" i="55"/>
  <c r="D220" i="55"/>
  <c r="B162" i="55"/>
  <c r="D221" i="55"/>
  <c r="B163" i="55"/>
  <c r="D222" i="55"/>
  <c r="B164" i="55"/>
  <c r="D223" i="55"/>
  <c r="D37" i="83"/>
  <c r="F37" i="83"/>
  <c r="H37" i="83"/>
  <c r="B67" i="83"/>
  <c r="B56" i="55"/>
  <c r="B113" i="55"/>
  <c r="B165" i="55"/>
  <c r="D224" i="55"/>
  <c r="D38" i="83"/>
  <c r="F38" i="83"/>
  <c r="H38" i="83"/>
  <c r="B68" i="83"/>
  <c r="B57" i="55"/>
  <c r="B114" i="55"/>
  <c r="B166" i="55"/>
  <c r="D225" i="55"/>
  <c r="D39" i="83"/>
  <c r="F39" i="83"/>
  <c r="H39" i="83"/>
  <c r="B69" i="83"/>
  <c r="B58" i="55"/>
  <c r="B115" i="55"/>
  <c r="B167" i="55"/>
  <c r="D226" i="55"/>
  <c r="D40" i="83"/>
  <c r="F40" i="83"/>
  <c r="H40" i="83"/>
  <c r="B70" i="83"/>
  <c r="B59" i="55"/>
  <c r="B116" i="55"/>
  <c r="B168" i="55"/>
  <c r="D227" i="55"/>
  <c r="D229" i="55"/>
  <c r="B6" i="21"/>
  <c r="G6" i="57"/>
  <c r="G7" i="57"/>
  <c r="G8" i="57"/>
  <c r="G9" i="57"/>
  <c r="G10" i="57"/>
  <c r="G11" i="57"/>
  <c r="G12" i="57"/>
  <c r="D6" i="62"/>
  <c r="F113" i="57"/>
  <c r="F114" i="57"/>
  <c r="F115" i="57"/>
  <c r="F116" i="57"/>
  <c r="D10" i="62"/>
  <c r="G50" i="57"/>
  <c r="G51" i="57"/>
  <c r="G52" i="57"/>
  <c r="G57" i="57"/>
  <c r="G61" i="57"/>
  <c r="G34" i="57"/>
  <c r="G35" i="57"/>
  <c r="G36" i="57"/>
  <c r="G37" i="57"/>
  <c r="G38" i="57"/>
  <c r="G39" i="57"/>
  <c r="G40" i="57"/>
  <c r="G41" i="57"/>
  <c r="G42" i="57"/>
  <c r="G43" i="57"/>
  <c r="G44" i="57"/>
  <c r="G45" i="57"/>
  <c r="G46" i="57"/>
  <c r="G47" i="57"/>
  <c r="G21" i="57"/>
  <c r="G22" i="57"/>
  <c r="G23" i="57"/>
  <c r="G24" i="57"/>
  <c r="G25" i="57"/>
  <c r="G26" i="57"/>
  <c r="G27" i="57"/>
  <c r="G28" i="57"/>
  <c r="G29" i="57"/>
  <c r="G30" i="57"/>
  <c r="G31" i="57"/>
  <c r="G32" i="57"/>
  <c r="G63" i="57"/>
  <c r="G64" i="57"/>
  <c r="G65" i="57"/>
  <c r="G66" i="57"/>
  <c r="G67" i="57"/>
  <c r="G69" i="57"/>
  <c r="D7" i="62"/>
  <c r="F86" i="57"/>
  <c r="F87" i="57"/>
  <c r="F88" i="57"/>
  <c r="F89" i="57"/>
  <c r="F90" i="57"/>
  <c r="F91" i="57"/>
  <c r="F92" i="57"/>
  <c r="D8" i="62"/>
  <c r="F99" i="57"/>
  <c r="F100" i="57"/>
  <c r="F101" i="57"/>
  <c r="F102" i="57"/>
  <c r="F103" i="57"/>
  <c r="F104" i="57"/>
  <c r="F105" i="57"/>
  <c r="D9" i="62"/>
  <c r="E21" i="62"/>
  <c r="D4" i="23"/>
  <c r="D8" i="23"/>
  <c r="F3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F16" i="23"/>
  <c r="D16" i="23"/>
  <c r="E16" i="23"/>
  <c r="G16" i="23"/>
  <c r="C17" i="23"/>
  <c r="F17" i="23"/>
  <c r="D17" i="23"/>
  <c r="E17" i="23"/>
  <c r="G17" i="23"/>
  <c r="C18" i="23"/>
  <c r="F18" i="23"/>
  <c r="D18" i="23"/>
  <c r="E18" i="23"/>
  <c r="G18" i="23"/>
  <c r="C19" i="23"/>
  <c r="F19" i="23"/>
  <c r="D19" i="23"/>
  <c r="E19" i="23"/>
  <c r="G19" i="23"/>
  <c r="C20" i="23"/>
  <c r="F20" i="23"/>
  <c r="D20" i="23"/>
  <c r="E20" i="23"/>
  <c r="G20" i="23"/>
  <c r="C21" i="23"/>
  <c r="F21" i="23"/>
  <c r="D21" i="23"/>
  <c r="E21" i="23"/>
  <c r="G21" i="23"/>
  <c r="C22" i="23"/>
  <c r="F22" i="23"/>
  <c r="D22" i="23"/>
  <c r="E22" i="23"/>
  <c r="G22" i="23"/>
  <c r="C23" i="23"/>
  <c r="F23" i="23"/>
  <c r="D23" i="23"/>
  <c r="E23" i="23"/>
  <c r="G23" i="23"/>
  <c r="C24" i="23"/>
  <c r="F24" i="23"/>
  <c r="D24" i="23"/>
  <c r="E24" i="23"/>
  <c r="G24" i="23"/>
  <c r="C25" i="23"/>
  <c r="F25" i="23"/>
  <c r="D25" i="23"/>
  <c r="E25" i="23"/>
  <c r="G25" i="23"/>
  <c r="C26" i="23"/>
  <c r="F26" i="23"/>
  <c r="D26" i="23"/>
  <c r="E26" i="23"/>
  <c r="G26" i="23"/>
  <c r="C27" i="23"/>
  <c r="F27" i="23"/>
  <c r="D27" i="23"/>
  <c r="E27" i="23"/>
  <c r="G27" i="23"/>
  <c r="C28" i="23"/>
  <c r="F28" i="23"/>
  <c r="D28" i="23"/>
  <c r="E28" i="23"/>
  <c r="G28" i="23"/>
  <c r="C29" i="23"/>
  <c r="F29" i="23"/>
  <c r="D29" i="23"/>
  <c r="E29" i="23"/>
  <c r="G29" i="23"/>
  <c r="C30" i="23"/>
  <c r="F30" i="23"/>
  <c r="D30" i="23"/>
  <c r="E30" i="23"/>
  <c r="G30" i="23"/>
  <c r="C31" i="23"/>
  <c r="F31" i="23"/>
  <c r="D31" i="23"/>
  <c r="E31" i="23"/>
  <c r="G31" i="23"/>
  <c r="C32" i="23"/>
  <c r="F32" i="23"/>
  <c r="D32" i="23"/>
  <c r="E32" i="23"/>
  <c r="G32" i="23"/>
  <c r="C33" i="23"/>
  <c r="F33" i="23"/>
  <c r="D33" i="23"/>
  <c r="E33" i="23"/>
  <c r="G33" i="23"/>
  <c r="C34" i="23"/>
  <c r="D34" i="23"/>
  <c r="E34" i="23"/>
  <c r="C33" i="72"/>
  <c r="C63" i="55"/>
  <c r="K12" i="83"/>
  <c r="L12" i="83"/>
  <c r="M12" i="83"/>
  <c r="N12" i="83"/>
  <c r="P12" i="83"/>
  <c r="Q12" i="83"/>
  <c r="R12" i="83"/>
  <c r="S12" i="83"/>
  <c r="T12" i="83"/>
  <c r="V12" i="83"/>
  <c r="W12" i="83"/>
  <c r="X12" i="83"/>
  <c r="J14" i="83"/>
  <c r="K14" i="83"/>
  <c r="L14" i="83"/>
  <c r="M14" i="83"/>
  <c r="N14" i="83"/>
  <c r="B95" i="83"/>
  <c r="C72" i="83"/>
  <c r="C95" i="83"/>
  <c r="D72" i="83"/>
  <c r="D95" i="83"/>
  <c r="E72" i="83"/>
  <c r="E95" i="83"/>
  <c r="F72" i="83"/>
  <c r="F95" i="83"/>
  <c r="G72" i="83"/>
  <c r="G95" i="83"/>
  <c r="H72" i="83"/>
  <c r="H95" i="83"/>
  <c r="H34" i="84"/>
  <c r="B41" i="84"/>
  <c r="H62" i="84"/>
  <c r="H124" i="84"/>
  <c r="H141" i="84"/>
  <c r="G34" i="84"/>
  <c r="G62" i="84"/>
  <c r="G124" i="84"/>
  <c r="G141" i="84"/>
  <c r="E149" i="84"/>
  <c r="F149" i="84"/>
  <c r="G149" i="84"/>
  <c r="H149" i="84"/>
  <c r="I149" i="84"/>
  <c r="J149" i="84"/>
  <c r="J154" i="84"/>
  <c r="H125" i="84"/>
  <c r="H142" i="84"/>
  <c r="G125" i="84"/>
  <c r="G142" i="84"/>
  <c r="J155" i="84"/>
  <c r="H126" i="84"/>
  <c r="H143" i="84"/>
  <c r="G126" i="84"/>
  <c r="G143" i="84"/>
  <c r="J156" i="84"/>
  <c r="J159" i="84"/>
  <c r="J163" i="84"/>
  <c r="J164" i="84"/>
  <c r="H74" i="83"/>
  <c r="H13" i="84"/>
  <c r="B75" i="83"/>
  <c r="C75" i="83"/>
  <c r="D75" i="83"/>
  <c r="E75" i="83"/>
  <c r="F75" i="83"/>
  <c r="G75" i="83"/>
  <c r="H75" i="83"/>
  <c r="H14" i="84"/>
  <c r="B76" i="83"/>
  <c r="C76" i="83"/>
  <c r="D76" i="83"/>
  <c r="E76" i="83"/>
  <c r="F76" i="83"/>
  <c r="G76" i="83"/>
  <c r="H76" i="83"/>
  <c r="H15" i="84"/>
  <c r="B77" i="83"/>
  <c r="C77" i="83"/>
  <c r="D77" i="83"/>
  <c r="E77" i="83"/>
  <c r="F77" i="83"/>
  <c r="G77" i="83"/>
  <c r="H77" i="83"/>
  <c r="H16" i="84"/>
  <c r="B78" i="83"/>
  <c r="C78" i="83"/>
  <c r="D78" i="83"/>
  <c r="E78" i="83"/>
  <c r="F78" i="83"/>
  <c r="G78" i="83"/>
  <c r="H78" i="83"/>
  <c r="H17" i="84"/>
  <c r="B79" i="83"/>
  <c r="C79" i="83"/>
  <c r="D79" i="83"/>
  <c r="E79" i="83"/>
  <c r="F79" i="83"/>
  <c r="G79" i="83"/>
  <c r="H79" i="83"/>
  <c r="H18" i="84"/>
  <c r="B80" i="83"/>
  <c r="C80" i="83"/>
  <c r="D80" i="83"/>
  <c r="E80" i="83"/>
  <c r="F80" i="83"/>
  <c r="G80" i="83"/>
  <c r="H80" i="83"/>
  <c r="H19" i="84"/>
  <c r="B81" i="83"/>
  <c r="C81" i="83"/>
  <c r="D81" i="83"/>
  <c r="E81" i="83"/>
  <c r="F81" i="83"/>
  <c r="G81" i="83"/>
  <c r="H81" i="83"/>
  <c r="H20" i="84"/>
  <c r="B82" i="83"/>
  <c r="C82" i="83"/>
  <c r="D82" i="83"/>
  <c r="E82" i="83"/>
  <c r="F82" i="83"/>
  <c r="G82" i="83"/>
  <c r="H82" i="83"/>
  <c r="H21" i="84"/>
  <c r="B83" i="83"/>
  <c r="C83" i="83"/>
  <c r="D83" i="83"/>
  <c r="E83" i="83"/>
  <c r="F83" i="83"/>
  <c r="G83" i="83"/>
  <c r="H83" i="83"/>
  <c r="H22" i="84"/>
  <c r="B84" i="83"/>
  <c r="C84" i="83"/>
  <c r="D84" i="83"/>
  <c r="E84" i="83"/>
  <c r="F84" i="83"/>
  <c r="G84" i="83"/>
  <c r="H84" i="83"/>
  <c r="H23" i="84"/>
  <c r="B85" i="83"/>
  <c r="C85" i="83"/>
  <c r="D85" i="83"/>
  <c r="E85" i="83"/>
  <c r="F85" i="83"/>
  <c r="G85" i="83"/>
  <c r="H85" i="83"/>
  <c r="H24" i="84"/>
  <c r="B86" i="83"/>
  <c r="C86" i="83"/>
  <c r="D86" i="83"/>
  <c r="E86" i="83"/>
  <c r="F86" i="83"/>
  <c r="G86" i="83"/>
  <c r="H86" i="83"/>
  <c r="H25" i="84"/>
  <c r="B87" i="83"/>
  <c r="C87" i="83"/>
  <c r="D87" i="83"/>
  <c r="E87" i="83"/>
  <c r="F87" i="83"/>
  <c r="G87" i="83"/>
  <c r="H87" i="83"/>
  <c r="H26" i="84"/>
  <c r="B88" i="83"/>
  <c r="C88" i="83"/>
  <c r="D88" i="83"/>
  <c r="E88" i="83"/>
  <c r="F88" i="83"/>
  <c r="G88" i="83"/>
  <c r="H88" i="83"/>
  <c r="H27" i="84"/>
  <c r="B89" i="83"/>
  <c r="C89" i="83"/>
  <c r="D89" i="83"/>
  <c r="E89" i="83"/>
  <c r="F89" i="83"/>
  <c r="G89" i="83"/>
  <c r="H89" i="83"/>
  <c r="H28" i="84"/>
  <c r="B90" i="83"/>
  <c r="C90" i="83"/>
  <c r="D90" i="83"/>
  <c r="E90" i="83"/>
  <c r="F90" i="83"/>
  <c r="G90" i="83"/>
  <c r="H90" i="83"/>
  <c r="H29" i="84"/>
  <c r="B91" i="83"/>
  <c r="C91" i="83"/>
  <c r="D91" i="83"/>
  <c r="E91" i="83"/>
  <c r="F91" i="83"/>
  <c r="G91" i="83"/>
  <c r="H91" i="83"/>
  <c r="H30" i="84"/>
  <c r="H31" i="84"/>
  <c r="H32" i="84"/>
  <c r="H33" i="84"/>
  <c r="B96" i="83"/>
  <c r="C96" i="83"/>
  <c r="D96" i="83"/>
  <c r="E96" i="83"/>
  <c r="F96" i="83"/>
  <c r="G96" i="83"/>
  <c r="H96" i="83"/>
  <c r="H35" i="84"/>
  <c r="B97" i="83"/>
  <c r="C97" i="83"/>
  <c r="D97" i="83"/>
  <c r="E97" i="83"/>
  <c r="F97" i="83"/>
  <c r="G97" i="83"/>
  <c r="H97" i="83"/>
  <c r="H36" i="84"/>
  <c r="B98" i="83"/>
  <c r="C98" i="83"/>
  <c r="D98" i="83"/>
  <c r="E98" i="83"/>
  <c r="F98" i="83"/>
  <c r="G98" i="83"/>
  <c r="H98" i="83"/>
  <c r="H37" i="84"/>
  <c r="H39" i="84"/>
  <c r="H12" i="84"/>
  <c r="J165" i="84"/>
  <c r="H67" i="57"/>
  <c r="B166" i="84"/>
  <c r="J166" i="84"/>
  <c r="J167" i="84"/>
  <c r="J168" i="84"/>
  <c r="J169" i="84"/>
  <c r="J177" i="84"/>
  <c r="J180" i="84"/>
  <c r="J181" i="84"/>
  <c r="J185" i="84"/>
  <c r="J186" i="84"/>
  <c r="J188" i="84"/>
  <c r="F34" i="84"/>
  <c r="F62" i="84"/>
  <c r="F124" i="84"/>
  <c r="F141" i="84"/>
  <c r="I154" i="84"/>
  <c r="F125" i="84"/>
  <c r="F142" i="84"/>
  <c r="I155" i="84"/>
  <c r="F126" i="84"/>
  <c r="F143" i="84"/>
  <c r="I156" i="84"/>
  <c r="I159" i="84"/>
  <c r="I163" i="84"/>
  <c r="I164" i="84"/>
  <c r="G74" i="83"/>
  <c r="G13" i="84"/>
  <c r="G14" i="84"/>
  <c r="G15" i="84"/>
  <c r="G16" i="84"/>
  <c r="G17" i="84"/>
  <c r="G18" i="84"/>
  <c r="G19" i="84"/>
  <c r="G20" i="84"/>
  <c r="G21" i="84"/>
  <c r="G22" i="84"/>
  <c r="G23" i="84"/>
  <c r="G24" i="84"/>
  <c r="G25" i="84"/>
  <c r="G26" i="84"/>
  <c r="G27" i="84"/>
  <c r="G28" i="84"/>
  <c r="G29" i="84"/>
  <c r="G30" i="84"/>
  <c r="D34" i="83"/>
  <c r="F34" i="83"/>
  <c r="H34" i="83"/>
  <c r="B92" i="83"/>
  <c r="C92" i="83"/>
  <c r="D92" i="83"/>
  <c r="E92" i="83"/>
  <c r="F92" i="83"/>
  <c r="G92" i="83"/>
  <c r="G31" i="84"/>
  <c r="D35" i="83"/>
  <c r="F35" i="83"/>
  <c r="H35" i="83"/>
  <c r="B93" i="83"/>
  <c r="C93" i="83"/>
  <c r="D93" i="83"/>
  <c r="E93" i="83"/>
  <c r="F93" i="83"/>
  <c r="G93" i="83"/>
  <c r="G32" i="84"/>
  <c r="D36" i="83"/>
  <c r="F36" i="83"/>
  <c r="H36" i="83"/>
  <c r="B94" i="83"/>
  <c r="C94" i="83"/>
  <c r="D94" i="83"/>
  <c r="E94" i="83"/>
  <c r="F94" i="83"/>
  <c r="G94" i="83"/>
  <c r="G33" i="84"/>
  <c r="G35" i="84"/>
  <c r="G36" i="84"/>
  <c r="G37" i="84"/>
  <c r="G39" i="84"/>
  <c r="G12" i="84"/>
  <c r="I165" i="84"/>
  <c r="I166" i="84"/>
  <c r="I167" i="84"/>
  <c r="I168" i="84"/>
  <c r="I169" i="84"/>
  <c r="I177" i="84"/>
  <c r="I180" i="84"/>
  <c r="I181" i="84"/>
  <c r="I185" i="84"/>
  <c r="I186" i="84"/>
  <c r="I188" i="84"/>
  <c r="E34" i="84"/>
  <c r="E62" i="84"/>
  <c r="E124" i="84"/>
  <c r="E141" i="84"/>
  <c r="H154" i="84"/>
  <c r="E125" i="84"/>
  <c r="E142" i="84"/>
  <c r="H155" i="84"/>
  <c r="E126" i="84"/>
  <c r="E143" i="84"/>
  <c r="H156" i="84"/>
  <c r="H159" i="84"/>
  <c r="H163" i="84"/>
  <c r="H164" i="84"/>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5" i="84"/>
  <c r="H166" i="84"/>
  <c r="H167" i="84"/>
  <c r="H168" i="84"/>
  <c r="H169" i="84"/>
  <c r="H177" i="84"/>
  <c r="H180" i="84"/>
  <c r="H181" i="84"/>
  <c r="H185" i="84"/>
  <c r="H186" i="84"/>
  <c r="H188" i="84"/>
  <c r="D34" i="84"/>
  <c r="D62" i="84"/>
  <c r="D124" i="84"/>
  <c r="D141" i="84"/>
  <c r="G154" i="84"/>
  <c r="D125" i="84"/>
  <c r="D142" i="84"/>
  <c r="G155" i="84"/>
  <c r="D126" i="84"/>
  <c r="D143" i="84"/>
  <c r="G156" i="84"/>
  <c r="G159" i="84"/>
  <c r="G163" i="84"/>
  <c r="G164" i="84"/>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6" i="84"/>
  <c r="G167" i="84"/>
  <c r="G168" i="84"/>
  <c r="G169" i="84"/>
  <c r="G177" i="84"/>
  <c r="G180" i="84"/>
  <c r="G181" i="84"/>
  <c r="G185" i="84"/>
  <c r="G186" i="84"/>
  <c r="G188" i="84"/>
  <c r="C34" i="84"/>
  <c r="C62" i="84"/>
  <c r="C124" i="84"/>
  <c r="C141" i="84"/>
  <c r="F154" i="84"/>
  <c r="C125" i="84"/>
  <c r="C142" i="84"/>
  <c r="F155" i="84"/>
  <c r="C126" i="84"/>
  <c r="C143" i="84"/>
  <c r="F156" i="84"/>
  <c r="F159" i="84"/>
  <c r="F163" i="84"/>
  <c r="F164" i="84"/>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6" i="84"/>
  <c r="F167" i="84"/>
  <c r="F168" i="84"/>
  <c r="F169" i="84"/>
  <c r="F177" i="84"/>
  <c r="F180" i="84"/>
  <c r="F181" i="84"/>
  <c r="F185" i="84"/>
  <c r="F186" i="84"/>
  <c r="F188" i="84"/>
  <c r="B34" i="84"/>
  <c r="B62" i="84"/>
  <c r="B124" i="84"/>
  <c r="B141" i="84"/>
  <c r="E154" i="84"/>
  <c r="B125" i="84"/>
  <c r="B142" i="84"/>
  <c r="E155" i="84"/>
  <c r="B126" i="84"/>
  <c r="B143" i="84"/>
  <c r="E156" i="84"/>
  <c r="E159" i="84"/>
  <c r="E163" i="84"/>
  <c r="E164" i="84"/>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5" i="84"/>
  <c r="E166" i="84"/>
  <c r="E167" i="84"/>
  <c r="E168" i="84"/>
  <c r="E169" i="84"/>
  <c r="E177" i="84"/>
  <c r="E180" i="84"/>
  <c r="E181" i="84"/>
  <c r="E185" i="84"/>
  <c r="E186" i="84"/>
  <c r="E188" i="84"/>
  <c r="D154" i="84"/>
  <c r="D155" i="84"/>
  <c r="D156" i="84"/>
  <c r="D159" i="84"/>
  <c r="D163" i="84"/>
  <c r="D164" i="84"/>
  <c r="B74" i="83"/>
  <c r="B13" i="84"/>
  <c r="B14" i="84"/>
  <c r="B15" i="84"/>
  <c r="B16" i="84"/>
  <c r="B17" i="84"/>
  <c r="B18" i="84"/>
  <c r="B19" i="84"/>
  <c r="B20" i="84"/>
  <c r="B21" i="84"/>
  <c r="B22" i="84"/>
  <c r="B23" i="84"/>
  <c r="B24" i="84"/>
  <c r="B25" i="84"/>
  <c r="B26" i="84"/>
  <c r="B27" i="84"/>
  <c r="B28" i="84"/>
  <c r="B29" i="84"/>
  <c r="B30" i="84"/>
  <c r="B31" i="84"/>
  <c r="B32" i="84"/>
  <c r="B33" i="84"/>
  <c r="B35" i="84"/>
  <c r="B36" i="84"/>
  <c r="B37" i="84"/>
  <c r="B39" i="84"/>
  <c r="B12" i="84"/>
  <c r="D165" i="84"/>
  <c r="D166" i="84"/>
  <c r="D167" i="84"/>
  <c r="D168" i="84"/>
  <c r="D169" i="84"/>
  <c r="D177" i="84"/>
  <c r="D180" i="84"/>
  <c r="D181" i="84"/>
  <c r="D185" i="84"/>
  <c r="D186" i="84"/>
  <c r="D188" i="84"/>
  <c r="A156" i="84"/>
  <c r="A155" i="84"/>
  <c r="A154" i="84"/>
  <c r="A70" i="83"/>
  <c r="A98" i="83"/>
  <c r="A37" i="84"/>
  <c r="A65" i="84"/>
  <c r="A135" i="84"/>
  <c r="A69" i="83"/>
  <c r="A97" i="83"/>
  <c r="A36" i="84"/>
  <c r="A64" i="84"/>
  <c r="A131" i="84"/>
  <c r="A68" i="83"/>
  <c r="A96" i="83"/>
  <c r="A35" i="84"/>
  <c r="A63" i="84"/>
  <c r="A127" i="84"/>
  <c r="A67" i="83"/>
  <c r="A95" i="83"/>
  <c r="A34" i="84"/>
  <c r="A62" i="84"/>
  <c r="A123" i="84"/>
  <c r="A63" i="83"/>
  <c r="A91" i="83"/>
  <c r="A30" i="84"/>
  <c r="A61" i="84"/>
  <c r="A122" i="84"/>
  <c r="A62" i="83"/>
  <c r="A90" i="83"/>
  <c r="A29" i="84"/>
  <c r="A60" i="84"/>
  <c r="A121" i="84"/>
  <c r="A61" i="83"/>
  <c r="A89" i="83"/>
  <c r="A28" i="84"/>
  <c r="A59" i="84"/>
  <c r="A120" i="84"/>
  <c r="A60" i="83"/>
  <c r="A88" i="83"/>
  <c r="A27" i="84"/>
  <c r="A58" i="84"/>
  <c r="A119" i="84"/>
  <c r="A59" i="83"/>
  <c r="A87" i="83"/>
  <c r="A26" i="84"/>
  <c r="A57" i="84"/>
  <c r="A118" i="84"/>
  <c r="A58" i="83"/>
  <c r="A86" i="83"/>
  <c r="A25" i="84"/>
  <c r="A56" i="84"/>
  <c r="A114" i="84"/>
  <c r="A57" i="83"/>
  <c r="A85" i="83"/>
  <c r="A24" i="84"/>
  <c r="A55" i="84"/>
  <c r="A110" i="84"/>
  <c r="A56" i="83"/>
  <c r="A84" i="83"/>
  <c r="A23" i="84"/>
  <c r="A54" i="84"/>
  <c r="A106" i="84"/>
  <c r="A55" i="83"/>
  <c r="A83" i="83"/>
  <c r="A22" i="84"/>
  <c r="A53" i="84"/>
  <c r="A102" i="84"/>
  <c r="A54" i="83"/>
  <c r="A82" i="83"/>
  <c r="A21" i="84"/>
  <c r="A52" i="84"/>
  <c r="A98" i="84"/>
  <c r="A53" i="83"/>
  <c r="A81" i="83"/>
  <c r="A20" i="84"/>
  <c r="A51" i="84"/>
  <c r="A94" i="84"/>
  <c r="A52" i="83"/>
  <c r="A80" i="83"/>
  <c r="A19" i="84"/>
  <c r="A50" i="84"/>
  <c r="A91" i="84"/>
  <c r="A51" i="83"/>
  <c r="A79" i="83"/>
  <c r="A18" i="84"/>
  <c r="A49" i="84"/>
  <c r="A87" i="84"/>
  <c r="A50" i="83"/>
  <c r="A78" i="83"/>
  <c r="A17" i="84"/>
  <c r="A48" i="84"/>
  <c r="A83" i="84"/>
  <c r="A49" i="83"/>
  <c r="A77" i="83"/>
  <c r="A16" i="84"/>
  <c r="A47" i="84"/>
  <c r="A79" i="84"/>
  <c r="A48" i="83"/>
  <c r="A76" i="83"/>
  <c r="A15" i="84"/>
  <c r="A46" i="84"/>
  <c r="A75" i="84"/>
  <c r="A47" i="83"/>
  <c r="A75" i="83"/>
  <c r="A14" i="84"/>
  <c r="A45" i="84"/>
  <c r="A71" i="84"/>
  <c r="A46" i="83"/>
  <c r="A74" i="83"/>
  <c r="A13" i="84"/>
  <c r="A44" i="84"/>
  <c r="A67" i="84"/>
  <c r="H65" i="84"/>
  <c r="G65" i="84"/>
  <c r="F65" i="84"/>
  <c r="E65" i="84"/>
  <c r="D65" i="84"/>
  <c r="C65" i="84"/>
  <c r="B65" i="84"/>
  <c r="H64" i="84"/>
  <c r="G64" i="84"/>
  <c r="F64" i="84"/>
  <c r="E64" i="84"/>
  <c r="D64" i="84"/>
  <c r="C64" i="84"/>
  <c r="B64" i="84"/>
  <c r="H63" i="84"/>
  <c r="G63" i="84"/>
  <c r="F63" i="84"/>
  <c r="E63" i="84"/>
  <c r="D63" i="84"/>
  <c r="C63" i="84"/>
  <c r="B63" i="84"/>
  <c r="E40" i="84"/>
  <c r="F40" i="84"/>
  <c r="G40" i="84"/>
  <c r="H40" i="84"/>
  <c r="H41" i="84"/>
  <c r="H61" i="84"/>
  <c r="G41" i="84"/>
  <c r="G61" i="84"/>
  <c r="F41" i="84"/>
  <c r="F61" i="84"/>
  <c r="E41" i="84"/>
  <c r="E61" i="84"/>
  <c r="D41" i="84"/>
  <c r="D61" i="84"/>
  <c r="C4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3" i="84"/>
  <c r="G53" i="84"/>
  <c r="F53" i="84"/>
  <c r="E53" i="84"/>
  <c r="D53" i="84"/>
  <c r="C53" i="84"/>
  <c r="B53"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H48" i="84"/>
  <c r="G48" i="84"/>
  <c r="F48" i="84"/>
  <c r="E48" i="84"/>
  <c r="D48" i="84"/>
  <c r="C48" i="84"/>
  <c r="B48" i="84"/>
  <c r="H47" i="84"/>
  <c r="G47" i="84"/>
  <c r="F47" i="84"/>
  <c r="E47" i="84"/>
  <c r="D47" i="84"/>
  <c r="C47" i="84"/>
  <c r="B47" i="84"/>
  <c r="H46" i="84"/>
  <c r="G46" i="84"/>
  <c r="F46" i="84"/>
  <c r="E46" i="84"/>
  <c r="D46" i="84"/>
  <c r="C46" i="84"/>
  <c r="B46" i="84"/>
  <c r="H45" i="84"/>
  <c r="G45" i="84"/>
  <c r="F45" i="84"/>
  <c r="E45" i="84"/>
  <c r="D45" i="84"/>
  <c r="C45" i="84"/>
  <c r="B45" i="84"/>
  <c r="H44" i="84"/>
  <c r="G44" i="84"/>
  <c r="F44" i="84"/>
  <c r="E44" i="84"/>
  <c r="D44" i="84"/>
  <c r="C44" i="84"/>
  <c r="B44" i="84"/>
  <c r="H42" i="84"/>
  <c r="G42" i="84"/>
  <c r="F42" i="84"/>
  <c r="E42" i="84"/>
  <c r="D42" i="84"/>
  <c r="C42" i="84"/>
  <c r="A66" i="83"/>
  <c r="A94" i="83"/>
  <c r="A33" i="84"/>
  <c r="A65" i="83"/>
  <c r="A93" i="83"/>
  <c r="A32" i="84"/>
  <c r="A64" i="83"/>
  <c r="A92" i="83"/>
  <c r="A31" i="84"/>
  <c r="B92" i="81"/>
  <c r="C90" i="81"/>
  <c r="C92" i="81"/>
  <c r="D90" i="81"/>
  <c r="D92" i="81"/>
  <c r="E90" i="81"/>
  <c r="E92" i="81"/>
  <c r="F90" i="81"/>
  <c r="F92" i="81"/>
  <c r="G90" i="81"/>
  <c r="G92" i="81"/>
  <c r="H90" i="81"/>
  <c r="H92" i="81"/>
  <c r="I9" i="53"/>
  <c r="I62" i="53"/>
  <c r="E124" i="53"/>
  <c r="F124" i="53"/>
  <c r="G124" i="53"/>
  <c r="H124" i="53"/>
  <c r="I124" i="53"/>
  <c r="J124" i="53"/>
  <c r="J130" i="53"/>
  <c r="B93" i="81"/>
  <c r="C93" i="81"/>
  <c r="D93" i="81"/>
  <c r="E93" i="81"/>
  <c r="F93" i="81"/>
  <c r="G93" i="81"/>
  <c r="H93" i="81"/>
  <c r="I10" i="53"/>
  <c r="I63" i="53"/>
  <c r="H10" i="53"/>
  <c r="H63" i="53"/>
  <c r="J131" i="53"/>
  <c r="B94" i="81"/>
  <c r="C94" i="81"/>
  <c r="D94" i="81"/>
  <c r="E94" i="81"/>
  <c r="F94" i="81"/>
  <c r="G94" i="81"/>
  <c r="H94" i="81"/>
  <c r="I11" i="53"/>
  <c r="I64" i="53"/>
  <c r="H11" i="53"/>
  <c r="H64" i="53"/>
  <c r="J132" i="53"/>
  <c r="B95" i="81"/>
  <c r="C95" i="81"/>
  <c r="D95" i="81"/>
  <c r="E95" i="81"/>
  <c r="F95" i="81"/>
  <c r="G95" i="81"/>
  <c r="H95" i="81"/>
  <c r="I12" i="53"/>
  <c r="I65" i="53"/>
  <c r="H12" i="53"/>
  <c r="H65" i="53"/>
  <c r="J133" i="53"/>
  <c r="B96" i="81"/>
  <c r="C96" i="81"/>
  <c r="D96" i="81"/>
  <c r="E96" i="81"/>
  <c r="F96" i="81"/>
  <c r="G96" i="81"/>
  <c r="H96" i="81"/>
  <c r="I13" i="53"/>
  <c r="I66" i="53"/>
  <c r="H13" i="53"/>
  <c r="H66" i="53"/>
  <c r="J134" i="53"/>
  <c r="B97" i="81"/>
  <c r="C97" i="81"/>
  <c r="D97" i="81"/>
  <c r="E97" i="81"/>
  <c r="F97" i="81"/>
  <c r="G97" i="81"/>
  <c r="H97" i="81"/>
  <c r="I14" i="53"/>
  <c r="I67" i="53"/>
  <c r="H14" i="53"/>
  <c r="H67" i="53"/>
  <c r="J135" i="53"/>
  <c r="B98" i="81"/>
  <c r="C98" i="81"/>
  <c r="D98" i="81"/>
  <c r="E98" i="81"/>
  <c r="F98" i="81"/>
  <c r="G98" i="81"/>
  <c r="H98" i="81"/>
  <c r="I15" i="53"/>
  <c r="I68" i="53"/>
  <c r="H15" i="53"/>
  <c r="H68" i="53"/>
  <c r="J136" i="53"/>
  <c r="B99" i="81"/>
  <c r="C99" i="81"/>
  <c r="D99" i="81"/>
  <c r="E99" i="81"/>
  <c r="F99" i="81"/>
  <c r="G99" i="81"/>
  <c r="H99" i="81"/>
  <c r="I16" i="53"/>
  <c r="I69" i="53"/>
  <c r="H16" i="53"/>
  <c r="H69" i="53"/>
  <c r="J137" i="53"/>
  <c r="B101" i="81"/>
  <c r="C101" i="81"/>
  <c r="D101" i="81"/>
  <c r="E101" i="81"/>
  <c r="F101" i="81"/>
  <c r="G101" i="81"/>
  <c r="H101" i="81"/>
  <c r="I18" i="53"/>
  <c r="I71" i="53"/>
  <c r="H18" i="53"/>
  <c r="H71" i="53"/>
  <c r="J139" i="53"/>
  <c r="B102" i="81"/>
  <c r="C102" i="81"/>
  <c r="D102" i="81"/>
  <c r="E102" i="81"/>
  <c r="F102" i="81"/>
  <c r="G102" i="81"/>
  <c r="H102" i="81"/>
  <c r="I19" i="53"/>
  <c r="I72" i="53"/>
  <c r="H19" i="53"/>
  <c r="H72" i="53"/>
  <c r="J140" i="53"/>
  <c r="B103" i="81"/>
  <c r="C103" i="81"/>
  <c r="D103" i="81"/>
  <c r="E103" i="81"/>
  <c r="F103" i="81"/>
  <c r="G103" i="81"/>
  <c r="H103" i="81"/>
  <c r="I20" i="53"/>
  <c r="I73" i="53"/>
  <c r="H20" i="53"/>
  <c r="H73" i="53"/>
  <c r="J141" i="53"/>
  <c r="B104" i="81"/>
  <c r="C104" i="81"/>
  <c r="D104" i="81"/>
  <c r="E104" i="81"/>
  <c r="F104" i="81"/>
  <c r="G104" i="81"/>
  <c r="H104" i="81"/>
  <c r="I21" i="53"/>
  <c r="I74" i="53"/>
  <c r="H21" i="53"/>
  <c r="H74" i="53"/>
  <c r="J142" i="53"/>
  <c r="B105" i="81"/>
  <c r="C105" i="81"/>
  <c r="D105" i="81"/>
  <c r="E105" i="81"/>
  <c r="F105" i="81"/>
  <c r="G105" i="81"/>
  <c r="H105" i="81"/>
  <c r="I22" i="53"/>
  <c r="I75" i="53"/>
  <c r="H22" i="53"/>
  <c r="H75" i="53"/>
  <c r="J143" i="53"/>
  <c r="B106" i="81"/>
  <c r="C106" i="81"/>
  <c r="D106" i="81"/>
  <c r="E106" i="81"/>
  <c r="F106" i="81"/>
  <c r="G106" i="81"/>
  <c r="H106" i="81"/>
  <c r="I23" i="53"/>
  <c r="I76" i="53"/>
  <c r="H23" i="53"/>
  <c r="H76" i="53"/>
  <c r="J144" i="53"/>
  <c r="B107" i="81"/>
  <c r="C107" i="81"/>
  <c r="D107" i="81"/>
  <c r="E107" i="81"/>
  <c r="F107" i="81"/>
  <c r="G107" i="81"/>
  <c r="H107" i="81"/>
  <c r="I24" i="53"/>
  <c r="I77" i="53"/>
  <c r="H24" i="53"/>
  <c r="H77" i="53"/>
  <c r="J145" i="53"/>
  <c r="B108" i="81"/>
  <c r="C108" i="81"/>
  <c r="D108" i="81"/>
  <c r="E108" i="81"/>
  <c r="F108" i="81"/>
  <c r="G108" i="81"/>
  <c r="H108" i="81"/>
  <c r="I25" i="53"/>
  <c r="I78" i="53"/>
  <c r="H25" i="53"/>
  <c r="H78" i="53"/>
  <c r="J146" i="53"/>
  <c r="B110" i="81"/>
  <c r="C110" i="81"/>
  <c r="D110" i="81"/>
  <c r="E110" i="81"/>
  <c r="F110" i="81"/>
  <c r="G110" i="81"/>
  <c r="H110" i="81"/>
  <c r="I27" i="53"/>
  <c r="I80" i="53"/>
  <c r="H27" i="53"/>
  <c r="H80" i="53"/>
  <c r="J148" i="53"/>
  <c r="B111" i="81"/>
  <c r="C111" i="81"/>
  <c r="D111" i="81"/>
  <c r="E111" i="81"/>
  <c r="F111" i="81"/>
  <c r="G111" i="81"/>
  <c r="H111" i="81"/>
  <c r="I28" i="53"/>
  <c r="I81" i="53"/>
  <c r="H28" i="53"/>
  <c r="H81" i="53"/>
  <c r="J149" i="53"/>
  <c r="B112" i="81"/>
  <c r="C112" i="81"/>
  <c r="D112" i="81"/>
  <c r="E112" i="81"/>
  <c r="F112" i="81"/>
  <c r="G112" i="81"/>
  <c r="H112" i="81"/>
  <c r="I29" i="53"/>
  <c r="I82" i="53"/>
  <c r="H29" i="53"/>
  <c r="H82" i="53"/>
  <c r="J150" i="53"/>
  <c r="B102" i="83"/>
  <c r="C100" i="83"/>
  <c r="C102" i="83"/>
  <c r="D100" i="83"/>
  <c r="D102" i="83"/>
  <c r="E100" i="83"/>
  <c r="E102" i="83"/>
  <c r="F100" i="83"/>
  <c r="F102" i="83"/>
  <c r="G100" i="83"/>
  <c r="G102" i="83"/>
  <c r="H100" i="83"/>
  <c r="H102" i="83"/>
  <c r="I33" i="53"/>
  <c r="I86" i="53"/>
  <c r="B103" i="83"/>
  <c r="C103" i="83"/>
  <c r="D103" i="83"/>
  <c r="E103" i="83"/>
  <c r="F103" i="83"/>
  <c r="G103" i="83"/>
  <c r="H103" i="83"/>
  <c r="I34" i="53"/>
  <c r="I87" i="53"/>
  <c r="B104" i="83"/>
  <c r="C104" i="83"/>
  <c r="D104" i="83"/>
  <c r="E104" i="83"/>
  <c r="F104" i="83"/>
  <c r="G104" i="83"/>
  <c r="H104" i="83"/>
  <c r="I35" i="53"/>
  <c r="I88" i="53"/>
  <c r="B105" i="83"/>
  <c r="C105" i="83"/>
  <c r="D105" i="83"/>
  <c r="E105" i="83"/>
  <c r="F105" i="83"/>
  <c r="G105" i="83"/>
  <c r="H105" i="83"/>
  <c r="I36" i="53"/>
  <c r="I89" i="53"/>
  <c r="B106" i="83"/>
  <c r="C106" i="83"/>
  <c r="D106" i="83"/>
  <c r="E106" i="83"/>
  <c r="F106" i="83"/>
  <c r="G106" i="83"/>
  <c r="H106" i="83"/>
  <c r="I37" i="53"/>
  <c r="I90" i="53"/>
  <c r="B107" i="83"/>
  <c r="C107" i="83"/>
  <c r="D107" i="83"/>
  <c r="E107" i="83"/>
  <c r="F107" i="83"/>
  <c r="G107" i="83"/>
  <c r="H107" i="83"/>
  <c r="I38" i="53"/>
  <c r="I91" i="53"/>
  <c r="B108" i="83"/>
  <c r="C108" i="83"/>
  <c r="D108" i="83"/>
  <c r="E108" i="83"/>
  <c r="F108" i="83"/>
  <c r="G108" i="83"/>
  <c r="H108" i="83"/>
  <c r="I39" i="53"/>
  <c r="I92" i="53"/>
  <c r="B109" i="83"/>
  <c r="C109" i="83"/>
  <c r="D109" i="83"/>
  <c r="E109" i="83"/>
  <c r="F109" i="83"/>
  <c r="G109" i="83"/>
  <c r="H109" i="83"/>
  <c r="I40" i="53"/>
  <c r="I93" i="53"/>
  <c r="B110" i="83"/>
  <c r="C110" i="83"/>
  <c r="D110" i="83"/>
  <c r="E110" i="83"/>
  <c r="F110" i="83"/>
  <c r="G110" i="83"/>
  <c r="H110" i="83"/>
  <c r="I41" i="53"/>
  <c r="I94" i="53"/>
  <c r="B111" i="83"/>
  <c r="C111" i="83"/>
  <c r="D111" i="83"/>
  <c r="E111" i="83"/>
  <c r="F111" i="83"/>
  <c r="G111" i="83"/>
  <c r="H111" i="83"/>
  <c r="I42" i="53"/>
  <c r="I95" i="53"/>
  <c r="B112" i="83"/>
  <c r="C112" i="83"/>
  <c r="D112" i="83"/>
  <c r="E112" i="83"/>
  <c r="F112" i="83"/>
  <c r="G112" i="83"/>
  <c r="H112" i="83"/>
  <c r="I43" i="53"/>
  <c r="I96" i="53"/>
  <c r="B113" i="83"/>
  <c r="C113" i="83"/>
  <c r="D113" i="83"/>
  <c r="E113" i="83"/>
  <c r="F113" i="83"/>
  <c r="G113" i="83"/>
  <c r="H113" i="83"/>
  <c r="I44" i="53"/>
  <c r="I97" i="53"/>
  <c r="B114" i="83"/>
  <c r="C114" i="83"/>
  <c r="D114" i="83"/>
  <c r="E114" i="83"/>
  <c r="F114" i="83"/>
  <c r="G114" i="83"/>
  <c r="H114" i="83"/>
  <c r="I45" i="53"/>
  <c r="I98" i="53"/>
  <c r="B115" i="83"/>
  <c r="C115" i="83"/>
  <c r="D115" i="83"/>
  <c r="E115" i="83"/>
  <c r="F115" i="83"/>
  <c r="G115" i="83"/>
  <c r="H115" i="83"/>
  <c r="I46" i="53"/>
  <c r="I99" i="53"/>
  <c r="B116" i="83"/>
  <c r="C116" i="83"/>
  <c r="D116" i="83"/>
  <c r="E116" i="83"/>
  <c r="F116" i="83"/>
  <c r="G116" i="83"/>
  <c r="H116" i="83"/>
  <c r="I47" i="53"/>
  <c r="I100" i="53"/>
  <c r="B117" i="83"/>
  <c r="C117" i="83"/>
  <c r="D117" i="83"/>
  <c r="E117" i="83"/>
  <c r="F117" i="83"/>
  <c r="G117" i="83"/>
  <c r="H117" i="83"/>
  <c r="I48" i="53"/>
  <c r="I101" i="53"/>
  <c r="B118" i="83"/>
  <c r="C118" i="83"/>
  <c r="D118" i="83"/>
  <c r="E118" i="83"/>
  <c r="F118" i="83"/>
  <c r="G118" i="83"/>
  <c r="H118" i="83"/>
  <c r="I49" i="53"/>
  <c r="I102" i="53"/>
  <c r="B119" i="83"/>
  <c r="C119" i="83"/>
  <c r="D119" i="83"/>
  <c r="E119" i="83"/>
  <c r="F119" i="83"/>
  <c r="G119" i="83"/>
  <c r="H119" i="83"/>
  <c r="I50" i="53"/>
  <c r="I103" i="53"/>
  <c r="B120" i="83"/>
  <c r="C120" i="83"/>
  <c r="D120" i="83"/>
  <c r="E120" i="83"/>
  <c r="F120" i="83"/>
  <c r="G120" i="83"/>
  <c r="H120" i="83"/>
  <c r="I51" i="53"/>
  <c r="I104" i="53"/>
  <c r="B121" i="83"/>
  <c r="C121" i="83"/>
  <c r="D121" i="83"/>
  <c r="E121" i="83"/>
  <c r="F121" i="83"/>
  <c r="G121" i="83"/>
  <c r="H121" i="83"/>
  <c r="I52" i="53"/>
  <c r="I105" i="53"/>
  <c r="B122" i="83"/>
  <c r="C122" i="83"/>
  <c r="D122" i="83"/>
  <c r="E122" i="83"/>
  <c r="F122" i="83"/>
  <c r="G122" i="83"/>
  <c r="H122" i="83"/>
  <c r="I53" i="53"/>
  <c r="I106" i="53"/>
  <c r="B123" i="83"/>
  <c r="C123" i="83"/>
  <c r="D123" i="83"/>
  <c r="E123" i="83"/>
  <c r="F123" i="83"/>
  <c r="G123" i="83"/>
  <c r="H123" i="83"/>
  <c r="I54" i="53"/>
  <c r="I107" i="53"/>
  <c r="B124" i="83"/>
  <c r="C124" i="83"/>
  <c r="D124" i="83"/>
  <c r="E124" i="83"/>
  <c r="F124" i="83"/>
  <c r="G124" i="83"/>
  <c r="H124" i="83"/>
  <c r="I55" i="53"/>
  <c r="I108" i="53"/>
  <c r="B125" i="83"/>
  <c r="C125" i="83"/>
  <c r="D125" i="83"/>
  <c r="E125" i="83"/>
  <c r="F125" i="83"/>
  <c r="G125" i="83"/>
  <c r="H125" i="83"/>
  <c r="I56" i="53"/>
  <c r="I109" i="53"/>
  <c r="B126" i="83"/>
  <c r="C126" i="83"/>
  <c r="D126" i="83"/>
  <c r="E126" i="83"/>
  <c r="F126" i="83"/>
  <c r="G126" i="83"/>
  <c r="H126" i="83"/>
  <c r="I57" i="53"/>
  <c r="I110" i="53"/>
  <c r="B113" i="81"/>
  <c r="C113" i="81"/>
  <c r="D113" i="81"/>
  <c r="E113" i="81"/>
  <c r="F113" i="81"/>
  <c r="G113" i="81"/>
  <c r="H113" i="81"/>
  <c r="I30" i="53"/>
  <c r="I83" i="53"/>
  <c r="I31" i="53"/>
  <c r="I84" i="53"/>
  <c r="I114" i="53"/>
  <c r="H9" i="53"/>
  <c r="H62"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H30" i="53"/>
  <c r="H83" i="53"/>
  <c r="H31" i="53"/>
  <c r="H84" i="53"/>
  <c r="H114" i="53"/>
  <c r="J182" i="53"/>
  <c r="I115" i="53"/>
  <c r="H115" i="53"/>
  <c r="J183" i="53"/>
  <c r="I116" i="53"/>
  <c r="H116" i="53"/>
  <c r="J184" i="53"/>
  <c r="I118" i="53"/>
  <c r="H118" i="53"/>
  <c r="J187" i="53"/>
  <c r="I119" i="53"/>
  <c r="H119" i="53"/>
  <c r="J188"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1" i="53"/>
  <c r="J152" i="53"/>
  <c r="J191" i="53"/>
  <c r="J197" i="53"/>
  <c r="J198" i="53"/>
  <c r="J199" i="53"/>
  <c r="J200" i="53"/>
  <c r="J201" i="53"/>
  <c r="J202" i="53"/>
  <c r="J203" i="53"/>
  <c r="J204" i="53"/>
  <c r="J206" i="53"/>
  <c r="J207" i="53"/>
  <c r="J208" i="53"/>
  <c r="J209" i="53"/>
  <c r="J210" i="53"/>
  <c r="J211" i="53"/>
  <c r="J212" i="53"/>
  <c r="J213" i="53"/>
  <c r="J215" i="53"/>
  <c r="J216" i="53"/>
  <c r="J217" i="53"/>
  <c r="J245" i="53"/>
  <c r="J246" i="53"/>
  <c r="J247" i="53"/>
  <c r="J250" i="53"/>
  <c r="J251" i="53"/>
  <c r="J253" i="53"/>
  <c r="J254" i="53"/>
  <c r="I197" i="53"/>
  <c r="I198" i="53"/>
  <c r="I199" i="53"/>
  <c r="I200" i="53"/>
  <c r="I201" i="53"/>
  <c r="I202" i="53"/>
  <c r="I203" i="53"/>
  <c r="I204" i="53"/>
  <c r="I206" i="53"/>
  <c r="I207" i="53"/>
  <c r="I208" i="53"/>
  <c r="I209" i="53"/>
  <c r="I210" i="53"/>
  <c r="I211" i="53"/>
  <c r="I212" i="53"/>
  <c r="I213" i="53"/>
  <c r="I215" i="53"/>
  <c r="I216" i="53"/>
  <c r="I217" i="53"/>
  <c r="I245" i="53"/>
  <c r="I246" i="53"/>
  <c r="I247" i="53"/>
  <c r="I250" i="53"/>
  <c r="I251" i="53"/>
  <c r="I221" i="53"/>
  <c r="I222" i="53"/>
  <c r="I223" i="53"/>
  <c r="I224" i="53"/>
  <c r="I225" i="53"/>
  <c r="I226" i="53"/>
  <c r="I227" i="53"/>
  <c r="I228" i="53"/>
  <c r="I229" i="53"/>
  <c r="I230" i="53"/>
  <c r="I231" i="53"/>
  <c r="I232" i="53"/>
  <c r="I233" i="53"/>
  <c r="I234" i="53"/>
  <c r="I235" i="53"/>
  <c r="I236" i="53"/>
  <c r="I237" i="53"/>
  <c r="I238" i="53"/>
  <c r="I239" i="53"/>
  <c r="I240" i="53"/>
  <c r="I241" i="53"/>
  <c r="I242" i="53"/>
  <c r="I205" i="53"/>
  <c r="I214" i="53"/>
  <c r="I218" i="53"/>
  <c r="I219" i="53"/>
  <c r="I243" i="53"/>
  <c r="J14" i="61"/>
  <c r="K5" i="61"/>
  <c r="J259" i="53"/>
  <c r="J221" i="53"/>
  <c r="J222" i="53"/>
  <c r="J223" i="53"/>
  <c r="J224" i="53"/>
  <c r="J225" i="53"/>
  <c r="J226" i="53"/>
  <c r="J227" i="53"/>
  <c r="J228" i="53"/>
  <c r="J229" i="53"/>
  <c r="J230" i="53"/>
  <c r="J231" i="53"/>
  <c r="J232" i="53"/>
  <c r="J233" i="53"/>
  <c r="J234" i="53"/>
  <c r="J235" i="53"/>
  <c r="J236" i="53"/>
  <c r="J237" i="53"/>
  <c r="J238" i="53"/>
  <c r="J239" i="53"/>
  <c r="J240" i="53"/>
  <c r="J241" i="53"/>
  <c r="J242" i="53"/>
  <c r="J205" i="53"/>
  <c r="J214" i="53"/>
  <c r="J218" i="53"/>
  <c r="J219" i="53"/>
  <c r="J243" i="53"/>
  <c r="K14" i="61"/>
  <c r="J260" i="53"/>
  <c r="J262" i="53"/>
  <c r="J265" i="53"/>
  <c r="J266" i="53"/>
  <c r="J267" i="53"/>
  <c r="J268" i="53"/>
  <c r="J273" i="53"/>
  <c r="J274" i="53"/>
  <c r="J276" i="53"/>
  <c r="I130" i="53"/>
  <c r="G10" i="53"/>
  <c r="G63" i="53"/>
  <c r="I131" i="53"/>
  <c r="G11" i="53"/>
  <c r="G64" i="53"/>
  <c r="I132" i="53"/>
  <c r="G12" i="53"/>
  <c r="G65" i="53"/>
  <c r="I133" i="53"/>
  <c r="G13" i="53"/>
  <c r="G66" i="53"/>
  <c r="I134" i="53"/>
  <c r="G14" i="53"/>
  <c r="G67" i="53"/>
  <c r="I135" i="53"/>
  <c r="G15" i="53"/>
  <c r="G68" i="53"/>
  <c r="I136" i="53"/>
  <c r="G16" i="53"/>
  <c r="G69" i="53"/>
  <c r="I137" i="53"/>
  <c r="G18" i="53"/>
  <c r="G71" i="53"/>
  <c r="I139" i="53"/>
  <c r="G19" i="53"/>
  <c r="G72" i="53"/>
  <c r="I140" i="53"/>
  <c r="G20" i="53"/>
  <c r="G73" i="53"/>
  <c r="I141" i="53"/>
  <c r="G21" i="53"/>
  <c r="G74" i="53"/>
  <c r="I142" i="53"/>
  <c r="G22" i="53"/>
  <c r="G75" i="53"/>
  <c r="I143" i="53"/>
  <c r="G23" i="53"/>
  <c r="G76" i="53"/>
  <c r="I144" i="53"/>
  <c r="G24" i="53"/>
  <c r="G77" i="53"/>
  <c r="I145" i="53"/>
  <c r="G25" i="53"/>
  <c r="G78" i="53"/>
  <c r="I146" i="53"/>
  <c r="G27" i="53"/>
  <c r="G80" i="53"/>
  <c r="I148" i="53"/>
  <c r="G28" i="53"/>
  <c r="G81" i="53"/>
  <c r="I149" i="53"/>
  <c r="G29" i="53"/>
  <c r="G82" i="53"/>
  <c r="I150" i="53"/>
  <c r="G9" i="53"/>
  <c r="G62" i="53"/>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G30" i="53"/>
  <c r="G83" i="53"/>
  <c r="G31" i="53"/>
  <c r="G84" i="53"/>
  <c r="G114" i="53"/>
  <c r="I182" i="53"/>
  <c r="G115" i="53"/>
  <c r="I183" i="53"/>
  <c r="G116" i="53"/>
  <c r="I184" i="53"/>
  <c r="G118" i="53"/>
  <c r="I187" i="53"/>
  <c r="G119" i="53"/>
  <c r="I188"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1" i="53"/>
  <c r="I152" i="53"/>
  <c r="I191" i="53"/>
  <c r="I253" i="53"/>
  <c r="I254" i="53"/>
  <c r="H197" i="53"/>
  <c r="H198" i="53"/>
  <c r="H199" i="53"/>
  <c r="H200" i="53"/>
  <c r="H201" i="53"/>
  <c r="H202" i="53"/>
  <c r="H203" i="53"/>
  <c r="H204" i="53"/>
  <c r="H206" i="53"/>
  <c r="H207" i="53"/>
  <c r="H208" i="53"/>
  <c r="H209" i="53"/>
  <c r="H210" i="53"/>
  <c r="H211" i="53"/>
  <c r="H212" i="53"/>
  <c r="H213" i="53"/>
  <c r="H215" i="53"/>
  <c r="H216" i="53"/>
  <c r="H217" i="53"/>
  <c r="H245" i="53"/>
  <c r="H246" i="53"/>
  <c r="H247" i="53"/>
  <c r="H250" i="53"/>
  <c r="H251" i="53"/>
  <c r="H221" i="53"/>
  <c r="H222" i="53"/>
  <c r="H223" i="53"/>
  <c r="H224" i="53"/>
  <c r="H225" i="53"/>
  <c r="H226" i="53"/>
  <c r="H227" i="53"/>
  <c r="H228" i="53"/>
  <c r="H229" i="53"/>
  <c r="H230" i="53"/>
  <c r="H231" i="53"/>
  <c r="H232" i="53"/>
  <c r="H233" i="53"/>
  <c r="H234" i="53"/>
  <c r="H235" i="53"/>
  <c r="H236" i="53"/>
  <c r="H237" i="53"/>
  <c r="H238" i="53"/>
  <c r="H239" i="53"/>
  <c r="H240" i="53"/>
  <c r="H241" i="53"/>
  <c r="H242" i="53"/>
  <c r="H205" i="53"/>
  <c r="H214" i="53"/>
  <c r="H218" i="53"/>
  <c r="H219" i="53"/>
  <c r="H243" i="53"/>
  <c r="I14" i="61"/>
  <c r="J5" i="61"/>
  <c r="I259" i="53"/>
  <c r="I260" i="53"/>
  <c r="I262" i="53"/>
  <c r="I265" i="53"/>
  <c r="I266" i="53"/>
  <c r="I267" i="53"/>
  <c r="I268" i="53"/>
  <c r="I273" i="53"/>
  <c r="I274" i="53"/>
  <c r="I276" i="53"/>
  <c r="H130" i="53"/>
  <c r="F10" i="53"/>
  <c r="F63" i="53"/>
  <c r="H131" i="53"/>
  <c r="F11" i="53"/>
  <c r="F64" i="53"/>
  <c r="H132" i="53"/>
  <c r="F12" i="53"/>
  <c r="F65" i="53"/>
  <c r="H133" i="53"/>
  <c r="F13" i="53"/>
  <c r="F66" i="53"/>
  <c r="H134" i="53"/>
  <c r="F14" i="53"/>
  <c r="F67" i="53"/>
  <c r="H135" i="53"/>
  <c r="F15" i="53"/>
  <c r="F68" i="53"/>
  <c r="H136" i="53"/>
  <c r="F16" i="53"/>
  <c r="F69" i="53"/>
  <c r="H137" i="53"/>
  <c r="F18" i="53"/>
  <c r="F71" i="53"/>
  <c r="H139" i="53"/>
  <c r="F19" i="53"/>
  <c r="F72" i="53"/>
  <c r="H140" i="53"/>
  <c r="F20" i="53"/>
  <c r="F73" i="53"/>
  <c r="H141" i="53"/>
  <c r="F21" i="53"/>
  <c r="F74" i="53"/>
  <c r="H142" i="53"/>
  <c r="F22" i="53"/>
  <c r="F75" i="53"/>
  <c r="H143" i="53"/>
  <c r="F23" i="53"/>
  <c r="F76" i="53"/>
  <c r="H144" i="53"/>
  <c r="F24" i="53"/>
  <c r="F77" i="53"/>
  <c r="H145" i="53"/>
  <c r="F25" i="53"/>
  <c r="F78" i="53"/>
  <c r="H146" i="53"/>
  <c r="F27" i="53"/>
  <c r="F80" i="53"/>
  <c r="H148" i="53"/>
  <c r="F28" i="53"/>
  <c r="F81" i="53"/>
  <c r="H149" i="53"/>
  <c r="F29" i="53"/>
  <c r="F82" i="53"/>
  <c r="H150" i="53"/>
  <c r="F9" i="53"/>
  <c r="F62" i="53"/>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F30" i="53"/>
  <c r="F83" i="53"/>
  <c r="F31" i="53"/>
  <c r="F84" i="53"/>
  <c r="F114" i="53"/>
  <c r="H182" i="53"/>
  <c r="F115" i="53"/>
  <c r="H183" i="53"/>
  <c r="F116" i="53"/>
  <c r="H184" i="53"/>
  <c r="F118" i="53"/>
  <c r="H187" i="53"/>
  <c r="F119" i="53"/>
  <c r="H188"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1" i="53"/>
  <c r="H152" i="53"/>
  <c r="H191" i="53"/>
  <c r="H253" i="53"/>
  <c r="H254" i="53"/>
  <c r="G197" i="53"/>
  <c r="G198" i="53"/>
  <c r="G199" i="53"/>
  <c r="G200" i="53"/>
  <c r="G201" i="53"/>
  <c r="G202" i="53"/>
  <c r="G203" i="53"/>
  <c r="G204" i="53"/>
  <c r="G206" i="53"/>
  <c r="G207" i="53"/>
  <c r="G208" i="53"/>
  <c r="G209" i="53"/>
  <c r="G210" i="53"/>
  <c r="G211" i="53"/>
  <c r="G212" i="53"/>
  <c r="G213" i="53"/>
  <c r="G215" i="53"/>
  <c r="G216" i="53"/>
  <c r="G217" i="53"/>
  <c r="G245" i="53"/>
  <c r="G246" i="53"/>
  <c r="G247" i="53"/>
  <c r="G250" i="53"/>
  <c r="G251" i="53"/>
  <c r="G221" i="53"/>
  <c r="G222" i="53"/>
  <c r="G223" i="53"/>
  <c r="G224" i="53"/>
  <c r="G225" i="53"/>
  <c r="G226" i="53"/>
  <c r="G227" i="53"/>
  <c r="G228" i="53"/>
  <c r="G229" i="53"/>
  <c r="G230" i="53"/>
  <c r="G231" i="53"/>
  <c r="G232" i="53"/>
  <c r="G233" i="53"/>
  <c r="G234" i="53"/>
  <c r="G235" i="53"/>
  <c r="G236" i="53"/>
  <c r="G237" i="53"/>
  <c r="G238" i="53"/>
  <c r="G239" i="53"/>
  <c r="G240" i="53"/>
  <c r="G241" i="53"/>
  <c r="G242" i="53"/>
  <c r="G205" i="53"/>
  <c r="G214" i="53"/>
  <c r="G218" i="53"/>
  <c r="G219" i="53"/>
  <c r="G243" i="53"/>
  <c r="H14" i="61"/>
  <c r="I5" i="61"/>
  <c r="H259" i="53"/>
  <c r="H260" i="53"/>
  <c r="H262" i="53"/>
  <c r="H265" i="53"/>
  <c r="H266" i="53"/>
  <c r="H267" i="53"/>
  <c r="H268" i="53"/>
  <c r="H273" i="53"/>
  <c r="H274" i="53"/>
  <c r="H276" i="53"/>
  <c r="G130" i="53"/>
  <c r="E10" i="53"/>
  <c r="E63" i="53"/>
  <c r="G131" i="53"/>
  <c r="E11" i="53"/>
  <c r="E64" i="53"/>
  <c r="G132" i="53"/>
  <c r="E12" i="53"/>
  <c r="E65" i="53"/>
  <c r="G133" i="53"/>
  <c r="E13" i="53"/>
  <c r="E66" i="53"/>
  <c r="G134" i="53"/>
  <c r="E14" i="53"/>
  <c r="E67" i="53"/>
  <c r="G135" i="53"/>
  <c r="E15" i="53"/>
  <c r="E68" i="53"/>
  <c r="G136" i="53"/>
  <c r="E16" i="53"/>
  <c r="E69" i="53"/>
  <c r="G137" i="53"/>
  <c r="E18" i="53"/>
  <c r="E71" i="53"/>
  <c r="G139" i="53"/>
  <c r="E19" i="53"/>
  <c r="E72" i="53"/>
  <c r="G140" i="53"/>
  <c r="E20" i="53"/>
  <c r="E73" i="53"/>
  <c r="G141" i="53"/>
  <c r="E21" i="53"/>
  <c r="E74" i="53"/>
  <c r="G142" i="53"/>
  <c r="E22" i="53"/>
  <c r="E75" i="53"/>
  <c r="G143" i="53"/>
  <c r="E23" i="53"/>
  <c r="E76" i="53"/>
  <c r="G144" i="53"/>
  <c r="E24" i="53"/>
  <c r="E77" i="53"/>
  <c r="G145" i="53"/>
  <c r="E25" i="53"/>
  <c r="E78" i="53"/>
  <c r="G146" i="53"/>
  <c r="E27" i="53"/>
  <c r="E80" i="53"/>
  <c r="G148" i="53"/>
  <c r="E28" i="53"/>
  <c r="E81" i="53"/>
  <c r="G149" i="53"/>
  <c r="E29" i="53"/>
  <c r="E82" i="53"/>
  <c r="G150" i="53"/>
  <c r="E9" i="53"/>
  <c r="E62" i="53"/>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E30" i="53"/>
  <c r="E83" i="53"/>
  <c r="E31" i="53"/>
  <c r="E84" i="53"/>
  <c r="E114" i="53"/>
  <c r="G182" i="53"/>
  <c r="E115" i="53"/>
  <c r="G183" i="53"/>
  <c r="E116" i="53"/>
  <c r="G184" i="53"/>
  <c r="E118" i="53"/>
  <c r="G187" i="53"/>
  <c r="E119" i="53"/>
  <c r="G188"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1" i="53"/>
  <c r="G152" i="53"/>
  <c r="G191" i="53"/>
  <c r="G253" i="53"/>
  <c r="G254" i="53"/>
  <c r="F197" i="53"/>
  <c r="F198" i="53"/>
  <c r="F199" i="53"/>
  <c r="F200" i="53"/>
  <c r="F201" i="53"/>
  <c r="F202" i="53"/>
  <c r="F203" i="53"/>
  <c r="F204" i="53"/>
  <c r="F206" i="53"/>
  <c r="F207" i="53"/>
  <c r="F208" i="53"/>
  <c r="F209" i="53"/>
  <c r="F210" i="53"/>
  <c r="F211" i="53"/>
  <c r="F212" i="53"/>
  <c r="F213" i="53"/>
  <c r="F215" i="53"/>
  <c r="F216" i="53"/>
  <c r="F217" i="53"/>
  <c r="F245" i="53"/>
  <c r="F246" i="53"/>
  <c r="F247" i="53"/>
  <c r="F250" i="53"/>
  <c r="F251" i="53"/>
  <c r="F221" i="53"/>
  <c r="F222" i="53"/>
  <c r="F223" i="53"/>
  <c r="F224" i="53"/>
  <c r="F225" i="53"/>
  <c r="F226" i="53"/>
  <c r="F227" i="53"/>
  <c r="F228" i="53"/>
  <c r="F229" i="53"/>
  <c r="F230" i="53"/>
  <c r="F231" i="53"/>
  <c r="F232" i="53"/>
  <c r="F233" i="53"/>
  <c r="F234" i="53"/>
  <c r="F235" i="53"/>
  <c r="F236" i="53"/>
  <c r="F237" i="53"/>
  <c r="F238" i="53"/>
  <c r="F239" i="53"/>
  <c r="F240" i="53"/>
  <c r="F241" i="53"/>
  <c r="F242" i="53"/>
  <c r="F205" i="53"/>
  <c r="F214" i="53"/>
  <c r="F218" i="53"/>
  <c r="F219" i="53"/>
  <c r="F243" i="53"/>
  <c r="G14" i="61"/>
  <c r="H5" i="61"/>
  <c r="G259" i="53"/>
  <c r="G260" i="53"/>
  <c r="G262" i="53"/>
  <c r="G265" i="53"/>
  <c r="G266" i="53"/>
  <c r="G267" i="53"/>
  <c r="G268" i="53"/>
  <c r="G273" i="53"/>
  <c r="G274" i="53"/>
  <c r="G276" i="53"/>
  <c r="F130" i="53"/>
  <c r="D10" i="53"/>
  <c r="D63" i="53"/>
  <c r="F131" i="53"/>
  <c r="D11" i="53"/>
  <c r="D64" i="53"/>
  <c r="F132" i="53"/>
  <c r="D12" i="53"/>
  <c r="D65" i="53"/>
  <c r="F133" i="53"/>
  <c r="D13" i="53"/>
  <c r="D66" i="53"/>
  <c r="F134" i="53"/>
  <c r="D14" i="53"/>
  <c r="D67" i="53"/>
  <c r="F135" i="53"/>
  <c r="D15" i="53"/>
  <c r="D68" i="53"/>
  <c r="F136" i="53"/>
  <c r="D16" i="53"/>
  <c r="D69" i="53"/>
  <c r="F137" i="53"/>
  <c r="D18" i="53"/>
  <c r="D71" i="53"/>
  <c r="F139" i="53"/>
  <c r="D19" i="53"/>
  <c r="D72" i="53"/>
  <c r="F140" i="53"/>
  <c r="D20" i="53"/>
  <c r="D73" i="53"/>
  <c r="F141" i="53"/>
  <c r="D21" i="53"/>
  <c r="D74" i="53"/>
  <c r="F142" i="53"/>
  <c r="D22" i="53"/>
  <c r="D75" i="53"/>
  <c r="F143" i="53"/>
  <c r="D23" i="53"/>
  <c r="D76" i="53"/>
  <c r="F144" i="53"/>
  <c r="D24" i="53"/>
  <c r="D77" i="53"/>
  <c r="F145" i="53"/>
  <c r="D25" i="53"/>
  <c r="D78" i="53"/>
  <c r="F146" i="53"/>
  <c r="D27" i="53"/>
  <c r="D80" i="53"/>
  <c r="F148" i="53"/>
  <c r="D28" i="53"/>
  <c r="D81" i="53"/>
  <c r="F149" i="53"/>
  <c r="D29" i="53"/>
  <c r="D82" i="53"/>
  <c r="F150" i="53"/>
  <c r="D9" i="53"/>
  <c r="D62" i="53"/>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D30" i="53"/>
  <c r="D83" i="53"/>
  <c r="D31" i="53"/>
  <c r="D84" i="53"/>
  <c r="D114" i="53"/>
  <c r="F182" i="53"/>
  <c r="D115" i="53"/>
  <c r="F183" i="53"/>
  <c r="D116" i="53"/>
  <c r="F184" i="53"/>
  <c r="D118" i="53"/>
  <c r="F187" i="53"/>
  <c r="D119" i="53"/>
  <c r="F188"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1" i="53"/>
  <c r="F152" i="53"/>
  <c r="F191" i="53"/>
  <c r="F253" i="53"/>
  <c r="F254" i="53"/>
  <c r="E197" i="53"/>
  <c r="E198" i="53"/>
  <c r="E199" i="53"/>
  <c r="E200" i="53"/>
  <c r="E201" i="53"/>
  <c r="E202" i="53"/>
  <c r="E203" i="53"/>
  <c r="E204" i="53"/>
  <c r="E206" i="53"/>
  <c r="E207" i="53"/>
  <c r="E208" i="53"/>
  <c r="E209" i="53"/>
  <c r="E210" i="53"/>
  <c r="E211" i="53"/>
  <c r="E212" i="53"/>
  <c r="E213" i="53"/>
  <c r="E215" i="53"/>
  <c r="E216" i="53"/>
  <c r="E217" i="53"/>
  <c r="E245" i="53"/>
  <c r="E246" i="53"/>
  <c r="E247" i="53"/>
  <c r="E250" i="53"/>
  <c r="E251" i="53"/>
  <c r="E221" i="53"/>
  <c r="E222" i="53"/>
  <c r="E223" i="53"/>
  <c r="E224" i="53"/>
  <c r="E225" i="53"/>
  <c r="E226" i="53"/>
  <c r="E227" i="53"/>
  <c r="E228" i="53"/>
  <c r="E229" i="53"/>
  <c r="E230" i="53"/>
  <c r="E231" i="53"/>
  <c r="E232" i="53"/>
  <c r="E233" i="53"/>
  <c r="E234" i="53"/>
  <c r="E235" i="53"/>
  <c r="E236" i="53"/>
  <c r="E237" i="53"/>
  <c r="E238" i="53"/>
  <c r="E239" i="53"/>
  <c r="E240" i="53"/>
  <c r="E241" i="53"/>
  <c r="E242" i="53"/>
  <c r="E205" i="53"/>
  <c r="E214" i="53"/>
  <c r="E218" i="53"/>
  <c r="E219" i="53"/>
  <c r="E243" i="53"/>
  <c r="F14" i="61"/>
  <c r="G5" i="61"/>
  <c r="F259" i="53"/>
  <c r="F260" i="53"/>
  <c r="F262" i="53"/>
  <c r="F265" i="53"/>
  <c r="F266" i="53"/>
  <c r="F267" i="53"/>
  <c r="F268" i="53"/>
  <c r="F273" i="53"/>
  <c r="F274" i="53"/>
  <c r="F276" i="53"/>
  <c r="E130" i="53"/>
  <c r="C10" i="53"/>
  <c r="C63" i="53"/>
  <c r="E131" i="53"/>
  <c r="C11" i="53"/>
  <c r="C64" i="53"/>
  <c r="E132" i="53"/>
  <c r="C12" i="53"/>
  <c r="C65" i="53"/>
  <c r="E133" i="53"/>
  <c r="C13" i="53"/>
  <c r="C66" i="53"/>
  <c r="E134" i="53"/>
  <c r="C14" i="53"/>
  <c r="C67" i="53"/>
  <c r="E135" i="53"/>
  <c r="C15" i="53"/>
  <c r="C68" i="53"/>
  <c r="E136" i="53"/>
  <c r="C16" i="53"/>
  <c r="C69" i="53"/>
  <c r="E137" i="53"/>
  <c r="C18" i="53"/>
  <c r="C71" i="53"/>
  <c r="E139" i="53"/>
  <c r="C19" i="53"/>
  <c r="C72" i="53"/>
  <c r="E140" i="53"/>
  <c r="C20" i="53"/>
  <c r="C73" i="53"/>
  <c r="E141" i="53"/>
  <c r="C21" i="53"/>
  <c r="C74" i="53"/>
  <c r="E142" i="53"/>
  <c r="C22" i="53"/>
  <c r="C75" i="53"/>
  <c r="E143" i="53"/>
  <c r="C23" i="53"/>
  <c r="C76" i="53"/>
  <c r="E144" i="53"/>
  <c r="C24" i="53"/>
  <c r="C77" i="53"/>
  <c r="E145" i="53"/>
  <c r="C25" i="53"/>
  <c r="C78" i="53"/>
  <c r="E146" i="53"/>
  <c r="C27" i="53"/>
  <c r="C80" i="53"/>
  <c r="E148" i="53"/>
  <c r="C28" i="53"/>
  <c r="C81" i="53"/>
  <c r="E149" i="53"/>
  <c r="C29" i="53"/>
  <c r="C82" i="53"/>
  <c r="E150" i="53"/>
  <c r="C9" i="53"/>
  <c r="C62" i="53"/>
  <c r="C33" i="53"/>
  <c r="C86" i="53"/>
  <c r="C34" i="53"/>
  <c r="C87" i="53"/>
  <c r="C35" i="53"/>
  <c r="C88" i="53"/>
  <c r="C36" i="53"/>
  <c r="C89" i="53"/>
  <c r="C37" i="53"/>
  <c r="C90" i="53"/>
  <c r="C38" i="53"/>
  <c r="C91" i="53"/>
  <c r="C39" i="53"/>
  <c r="C92" i="53"/>
  <c r="C40" i="53"/>
  <c r="C93" i="53"/>
  <c r="C41" i="53"/>
  <c r="C94" i="53"/>
  <c r="C42" i="53"/>
  <c r="C95" i="53"/>
  <c r="C43" i="53"/>
  <c r="C96" i="53"/>
  <c r="C44" i="53"/>
  <c r="C97" i="53"/>
  <c r="C45" i="53"/>
  <c r="C98" i="53"/>
  <c r="C46" i="53"/>
  <c r="C99" i="53"/>
  <c r="C47" i="53"/>
  <c r="C100" i="53"/>
  <c r="C48" i="53"/>
  <c r="C101" i="53"/>
  <c r="C49" i="53"/>
  <c r="C102" i="53"/>
  <c r="C50" i="53"/>
  <c r="C103" i="53"/>
  <c r="C51" i="53"/>
  <c r="C104" i="53"/>
  <c r="C52" i="53"/>
  <c r="C105" i="53"/>
  <c r="C53" i="53"/>
  <c r="C106" i="53"/>
  <c r="C54" i="53"/>
  <c r="C107" i="53"/>
  <c r="C55" i="53"/>
  <c r="C108" i="53"/>
  <c r="C56" i="53"/>
  <c r="C109" i="53"/>
  <c r="C57" i="53"/>
  <c r="C110" i="53"/>
  <c r="C30" i="53"/>
  <c r="C83" i="53"/>
  <c r="C31" i="53"/>
  <c r="C84" i="53"/>
  <c r="C114" i="53"/>
  <c r="E182" i="53"/>
  <c r="C115" i="53"/>
  <c r="E183" i="53"/>
  <c r="C116" i="53"/>
  <c r="E184" i="53"/>
  <c r="C118" i="53"/>
  <c r="E187" i="53"/>
  <c r="C119" i="53"/>
  <c r="E188"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51" i="53"/>
  <c r="E152" i="53"/>
  <c r="E191" i="53"/>
  <c r="E253" i="53"/>
  <c r="E254" i="53"/>
  <c r="D197" i="53"/>
  <c r="D198" i="53"/>
  <c r="D199" i="53"/>
  <c r="D200" i="53"/>
  <c r="D201" i="53"/>
  <c r="D202" i="53"/>
  <c r="D203" i="53"/>
  <c r="D204" i="53"/>
  <c r="D206" i="53"/>
  <c r="D207" i="53"/>
  <c r="D208" i="53"/>
  <c r="D209" i="53"/>
  <c r="D210" i="53"/>
  <c r="D211" i="53"/>
  <c r="D212" i="53"/>
  <c r="D213" i="53"/>
  <c r="D215" i="53"/>
  <c r="D216" i="53"/>
  <c r="D217" i="53"/>
  <c r="D245" i="53"/>
  <c r="D246" i="53"/>
  <c r="D247" i="53"/>
  <c r="D250" i="53"/>
  <c r="D251" i="53"/>
  <c r="D221" i="53"/>
  <c r="D222" i="53"/>
  <c r="D223" i="53"/>
  <c r="D224" i="53"/>
  <c r="D225" i="53"/>
  <c r="D226" i="53"/>
  <c r="D227" i="53"/>
  <c r="D228" i="53"/>
  <c r="D229" i="53"/>
  <c r="D230" i="53"/>
  <c r="D231" i="53"/>
  <c r="D232" i="53"/>
  <c r="D233" i="53"/>
  <c r="D234" i="53"/>
  <c r="D235" i="53"/>
  <c r="D236" i="53"/>
  <c r="D237" i="53"/>
  <c r="D238" i="53"/>
  <c r="D239" i="53"/>
  <c r="D240" i="53"/>
  <c r="D241" i="53"/>
  <c r="D242" i="53"/>
  <c r="D205" i="53"/>
  <c r="D214" i="53"/>
  <c r="D218" i="53"/>
  <c r="D219" i="53"/>
  <c r="D243" i="53"/>
  <c r="E14" i="61"/>
  <c r="F5" i="61"/>
  <c r="E259" i="53"/>
  <c r="E260" i="53"/>
  <c r="E262" i="53"/>
  <c r="E265" i="53"/>
  <c r="E266" i="53"/>
  <c r="E267" i="53"/>
  <c r="E268" i="53"/>
  <c r="E273" i="53"/>
  <c r="E274" i="53"/>
  <c r="E276" i="53"/>
  <c r="D130" i="53"/>
  <c r="D131" i="53"/>
  <c r="D132" i="53"/>
  <c r="D133" i="53"/>
  <c r="D134" i="53"/>
  <c r="D135" i="53"/>
  <c r="D136" i="53"/>
  <c r="D137" i="53"/>
  <c r="D139" i="53"/>
  <c r="D140" i="53"/>
  <c r="D141" i="53"/>
  <c r="D142" i="53"/>
  <c r="D143" i="53"/>
  <c r="D144" i="53"/>
  <c r="D145" i="53"/>
  <c r="D146" i="53"/>
  <c r="D148" i="53"/>
  <c r="D149" i="53"/>
  <c r="D150" i="53"/>
  <c r="D182" i="53"/>
  <c r="D183" i="53"/>
  <c r="D184" i="53"/>
  <c r="D187" i="53"/>
  <c r="D188"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51" i="53"/>
  <c r="D152" i="53"/>
  <c r="D191" i="53"/>
  <c r="D253" i="53"/>
  <c r="D254" i="53"/>
  <c r="D260" i="53"/>
  <c r="D262" i="53"/>
  <c r="D265" i="53"/>
  <c r="D266" i="53"/>
  <c r="D267" i="53"/>
  <c r="D268" i="53"/>
  <c r="D273" i="53"/>
  <c r="D274" i="53"/>
  <c r="D276" i="53"/>
  <c r="A251" i="53"/>
  <c r="A250" i="53"/>
  <c r="A249" i="53"/>
  <c r="A247" i="53"/>
  <c r="A246" i="53"/>
  <c r="A245" i="53"/>
  <c r="A244" i="53"/>
  <c r="A179" i="53"/>
  <c r="A243" i="53"/>
  <c r="A126" i="83"/>
  <c r="A57" i="53"/>
  <c r="A178" i="53"/>
  <c r="A242" i="53"/>
  <c r="A125" i="83"/>
  <c r="A56" i="53"/>
  <c r="A177" i="53"/>
  <c r="A241" i="53"/>
  <c r="A124" i="83"/>
  <c r="A55" i="53"/>
  <c r="A176" i="53"/>
  <c r="A240" i="53"/>
  <c r="A123" i="83"/>
  <c r="A54" i="53"/>
  <c r="A175" i="53"/>
  <c r="A239" i="53"/>
  <c r="A119" i="83"/>
  <c r="A50" i="53"/>
  <c r="A171" i="53"/>
  <c r="A238" i="53"/>
  <c r="A118" i="83"/>
  <c r="A49" i="53"/>
  <c r="A170" i="53"/>
  <c r="A237" i="53"/>
  <c r="A117" i="83"/>
  <c r="A48" i="53"/>
  <c r="A169" i="53"/>
  <c r="A236" i="53"/>
  <c r="A116" i="83"/>
  <c r="A47" i="53"/>
  <c r="A168" i="53"/>
  <c r="A235" i="53"/>
  <c r="A115" i="83"/>
  <c r="A46" i="53"/>
  <c r="A167" i="53"/>
  <c r="A234" i="53"/>
  <c r="A114" i="83"/>
  <c r="A45" i="53"/>
  <c r="A166" i="53"/>
  <c r="A233" i="53"/>
  <c r="A113" i="83"/>
  <c r="A44" i="53"/>
  <c r="A165" i="53"/>
  <c r="A232" i="53"/>
  <c r="A112" i="83"/>
  <c r="A43" i="53"/>
  <c r="A164" i="53"/>
  <c r="A231" i="53"/>
  <c r="A111" i="83"/>
  <c r="A42" i="53"/>
  <c r="A163" i="53"/>
  <c r="A230" i="53"/>
  <c r="A110" i="83"/>
  <c r="A41" i="53"/>
  <c r="A162" i="53"/>
  <c r="A229" i="53"/>
  <c r="A109" i="83"/>
  <c r="A40" i="53"/>
  <c r="A161" i="53"/>
  <c r="A228" i="53"/>
  <c r="A108" i="83"/>
  <c r="A39" i="53"/>
  <c r="A160" i="53"/>
  <c r="A227" i="53"/>
  <c r="A107" i="83"/>
  <c r="A38" i="53"/>
  <c r="A159" i="53"/>
  <c r="A226" i="53"/>
  <c r="A106" i="83"/>
  <c r="A37" i="53"/>
  <c r="A158" i="53"/>
  <c r="A225" i="53"/>
  <c r="A105" i="83"/>
  <c r="A36" i="53"/>
  <c r="A157" i="53"/>
  <c r="A224" i="53"/>
  <c r="A104" i="83"/>
  <c r="A35" i="53"/>
  <c r="A156" i="53"/>
  <c r="A223" i="53"/>
  <c r="A103" i="83"/>
  <c r="A34" i="53"/>
  <c r="A155" i="53"/>
  <c r="A222" i="53"/>
  <c r="A102" i="83"/>
  <c r="A33" i="53"/>
  <c r="A154" i="53"/>
  <c r="A221" i="53"/>
  <c r="A32" i="53"/>
  <c r="A153" i="53"/>
  <c r="A220" i="53"/>
  <c r="A31" i="53"/>
  <c r="A152" i="53"/>
  <c r="A219" i="53"/>
  <c r="A62" i="81"/>
  <c r="A87" i="81"/>
  <c r="A112" i="81"/>
  <c r="A30" i="53"/>
  <c r="A151" i="53"/>
  <c r="A218" i="53"/>
  <c r="A61" i="81"/>
  <c r="A86" i="81"/>
  <c r="A111" i="81"/>
  <c r="A29" i="53"/>
  <c r="A150" i="53"/>
  <c r="A217" i="53"/>
  <c r="A60" i="81"/>
  <c r="A85" i="81"/>
  <c r="A110" i="81"/>
  <c r="A28" i="53"/>
  <c r="A149" i="53"/>
  <c r="A216" i="53"/>
  <c r="A59" i="81"/>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44" i="81"/>
  <c r="A69" i="81"/>
  <c r="A94" i="81"/>
  <c r="A11" i="53"/>
  <c r="A132" i="53"/>
  <c r="A199" i="53"/>
  <c r="A43" i="81"/>
  <c r="A68" i="81"/>
  <c r="A93" i="81"/>
  <c r="A10" i="53"/>
  <c r="A131" i="53"/>
  <c r="A198" i="53"/>
  <c r="A42" i="81"/>
  <c r="A67" i="81"/>
  <c r="A92" i="81"/>
  <c r="A9" i="53"/>
  <c r="A130" i="53"/>
  <c r="A197" i="53"/>
  <c r="A195" i="53"/>
  <c r="A122" i="83"/>
  <c r="A53" i="53"/>
  <c r="A174" i="53"/>
  <c r="A121" i="83"/>
  <c r="A52" i="53"/>
  <c r="A173" i="53"/>
  <c r="A120" i="83"/>
  <c r="A51" i="53"/>
  <c r="A172" i="53"/>
  <c r="A129" i="53"/>
  <c r="A110" i="53"/>
  <c r="A109" i="53"/>
  <c r="A108" i="53"/>
  <c r="A107" i="53"/>
  <c r="A106" i="53"/>
  <c r="A105" i="53"/>
  <c r="A104" i="53"/>
  <c r="A103" i="53"/>
  <c r="A102" i="53"/>
  <c r="A101" i="53"/>
  <c r="A100" i="53"/>
  <c r="A99" i="53"/>
  <c r="A98" i="53"/>
  <c r="A97" i="53"/>
  <c r="A96" i="53"/>
  <c r="A95" i="53"/>
  <c r="A94" i="53"/>
  <c r="A93" i="53"/>
  <c r="A92" i="53"/>
  <c r="A91" i="53"/>
  <c r="A90" i="53"/>
  <c r="A89" i="53"/>
  <c r="A88" i="53"/>
  <c r="A87" i="53"/>
  <c r="A86" i="53"/>
  <c r="A85" i="53"/>
  <c r="A84" i="53"/>
  <c r="A83" i="53"/>
  <c r="A82" i="53"/>
  <c r="A81" i="53"/>
  <c r="A80" i="53"/>
  <c r="A79" i="53"/>
  <c r="A78" i="53"/>
  <c r="A77" i="53"/>
  <c r="A76" i="53"/>
  <c r="A75" i="53"/>
  <c r="A74" i="53"/>
  <c r="A73" i="53"/>
  <c r="A72" i="53"/>
  <c r="A71" i="53"/>
  <c r="A70" i="53"/>
  <c r="A69" i="53"/>
  <c r="A68" i="53"/>
  <c r="A67" i="53"/>
  <c r="A66" i="53"/>
  <c r="A65" i="53"/>
  <c r="A64" i="53"/>
  <c r="A63" i="53"/>
  <c r="A62" i="53"/>
  <c r="A61" i="53"/>
  <c r="F8" i="48"/>
  <c r="H8" i="48"/>
  <c r="C28" i="48"/>
  <c r="D28" i="48"/>
  <c r="F23" i="48"/>
  <c r="G23" i="48"/>
  <c r="H23" i="48"/>
  <c r="I23" i="48"/>
  <c r="J23" i="48"/>
  <c r="K23" i="48"/>
  <c r="K28" i="48"/>
  <c r="F9" i="48"/>
  <c r="H9" i="48"/>
  <c r="C29" i="48"/>
  <c r="D29" i="48"/>
  <c r="K29" i="48"/>
  <c r="F10" i="48"/>
  <c r="H10" i="48"/>
  <c r="C30" i="48"/>
  <c r="D30" i="48"/>
  <c r="K30" i="48"/>
  <c r="F11" i="48"/>
  <c r="H11" i="48"/>
  <c r="C31" i="48"/>
  <c r="D31" i="48"/>
  <c r="K31" i="48"/>
  <c r="F12" i="48"/>
  <c r="H12" i="48"/>
  <c r="C32" i="48"/>
  <c r="D32" i="48"/>
  <c r="K32" i="48"/>
  <c r="C33" i="48"/>
  <c r="D33" i="48"/>
  <c r="K33" i="48"/>
  <c r="C34" i="48"/>
  <c r="D34" i="48"/>
  <c r="K34" i="48"/>
  <c r="C35" i="48"/>
  <c r="D35" i="48"/>
  <c r="K35" i="48"/>
  <c r="C36" i="48"/>
  <c r="D36" i="48"/>
  <c r="K36" i="48"/>
  <c r="C37" i="48"/>
  <c r="D37" i="48"/>
  <c r="K37" i="48"/>
  <c r="C38" i="48"/>
  <c r="D38" i="48"/>
  <c r="K38" i="48"/>
  <c r="K39" i="48"/>
  <c r="J8" i="48"/>
  <c r="J9" i="48"/>
  <c r="J10" i="48"/>
  <c r="J11" i="48"/>
  <c r="J12" i="48"/>
  <c r="J13" i="48"/>
  <c r="J14" i="48"/>
  <c r="J15" i="48"/>
  <c r="J16" i="48"/>
  <c r="J17" i="48"/>
  <c r="C43" i="48"/>
  <c r="K43" i="48"/>
  <c r="M8" i="48"/>
  <c r="M9" i="48"/>
  <c r="M10" i="48"/>
  <c r="M11" i="48"/>
  <c r="M12" i="48"/>
  <c r="M13" i="48"/>
  <c r="M14" i="48"/>
  <c r="M15" i="48"/>
  <c r="M16" i="48"/>
  <c r="M17" i="48"/>
  <c r="C44" i="48"/>
  <c r="K44" i="48"/>
  <c r="K49" i="48"/>
  <c r="K52" i="48"/>
  <c r="K56" i="48"/>
  <c r="K57" i="48"/>
  <c r="K59" i="48"/>
  <c r="J28" i="48"/>
  <c r="J29" i="48"/>
  <c r="J30" i="48"/>
  <c r="J31" i="48"/>
  <c r="J32" i="48"/>
  <c r="J33" i="48"/>
  <c r="J34" i="48"/>
  <c r="J35" i="48"/>
  <c r="J36" i="48"/>
  <c r="J37" i="48"/>
  <c r="J38" i="48"/>
  <c r="J39" i="48"/>
  <c r="J43" i="48"/>
  <c r="J44" i="48"/>
  <c r="J49" i="48"/>
  <c r="J52" i="48"/>
  <c r="J56" i="48"/>
  <c r="J57" i="48"/>
  <c r="J59" i="48"/>
  <c r="I28" i="48"/>
  <c r="I29" i="48"/>
  <c r="I30" i="48"/>
  <c r="I31" i="48"/>
  <c r="I32" i="48"/>
  <c r="I33" i="48"/>
  <c r="I34" i="48"/>
  <c r="I35" i="48"/>
  <c r="I36" i="48"/>
  <c r="I37" i="48"/>
  <c r="I38" i="48"/>
  <c r="I39" i="48"/>
  <c r="I43" i="48"/>
  <c r="I44" i="48"/>
  <c r="I49" i="48"/>
  <c r="I52" i="48"/>
  <c r="I56" i="48"/>
  <c r="I57" i="48"/>
  <c r="I59" i="48"/>
  <c r="H28" i="48"/>
  <c r="H29" i="48"/>
  <c r="H30" i="48"/>
  <c r="H31" i="48"/>
  <c r="H32" i="48"/>
  <c r="H33" i="48"/>
  <c r="H34" i="48"/>
  <c r="H35" i="48"/>
  <c r="H36" i="48"/>
  <c r="H37" i="48"/>
  <c r="H38" i="48"/>
  <c r="H39" i="48"/>
  <c r="H43" i="48"/>
  <c r="H44" i="48"/>
  <c r="H49" i="48"/>
  <c r="H52" i="48"/>
  <c r="H56" i="48"/>
  <c r="H57" i="48"/>
  <c r="H59" i="48"/>
  <c r="G28" i="48"/>
  <c r="G29" i="48"/>
  <c r="G30" i="48"/>
  <c r="G31" i="48"/>
  <c r="G32" i="48"/>
  <c r="G33" i="48"/>
  <c r="G34" i="48"/>
  <c r="G35" i="48"/>
  <c r="G36" i="48"/>
  <c r="G37" i="48"/>
  <c r="G38" i="48"/>
  <c r="G39" i="48"/>
  <c r="G43" i="48"/>
  <c r="G44" i="48"/>
  <c r="G49" i="48"/>
  <c r="G52" i="48"/>
  <c r="G56" i="48"/>
  <c r="G57" i="48"/>
  <c r="G59" i="48"/>
  <c r="F28" i="48"/>
  <c r="F29" i="48"/>
  <c r="F30" i="48"/>
  <c r="F31" i="48"/>
  <c r="F32" i="48"/>
  <c r="F33" i="48"/>
  <c r="F34" i="48"/>
  <c r="F35" i="48"/>
  <c r="F36" i="48"/>
  <c r="F37" i="48"/>
  <c r="F38" i="48"/>
  <c r="F39" i="48"/>
  <c r="F43" i="48"/>
  <c r="F44" i="48"/>
  <c r="F49" i="48"/>
  <c r="F52" i="48"/>
  <c r="F56" i="48"/>
  <c r="F57" i="48"/>
  <c r="F59" i="48"/>
  <c r="E28" i="48"/>
  <c r="E29" i="48"/>
  <c r="E30" i="48"/>
  <c r="E31" i="48"/>
  <c r="E32" i="48"/>
  <c r="E33" i="48"/>
  <c r="E34" i="48"/>
  <c r="E35" i="48"/>
  <c r="E36" i="48"/>
  <c r="E37" i="48"/>
  <c r="E38" i="48"/>
  <c r="E39" i="48"/>
  <c r="E43" i="48"/>
  <c r="E44" i="48"/>
  <c r="E49" i="48"/>
  <c r="E52" i="48"/>
  <c r="E56" i="48"/>
  <c r="E57" i="48"/>
  <c r="E59" i="48"/>
  <c r="A32" i="48"/>
  <c r="A31" i="48"/>
  <c r="A30" i="48"/>
  <c r="A29" i="48"/>
  <c r="A28" i="48"/>
  <c r="F17" i="48"/>
  <c r="F16" i="48"/>
  <c r="F15" i="48"/>
  <c r="F14" i="48"/>
  <c r="F13" i="48"/>
  <c r="C9" i="42"/>
  <c r="D9" i="42"/>
  <c r="E9" i="42"/>
  <c r="F9" i="42"/>
  <c r="G9" i="42"/>
  <c r="H9" i="42"/>
  <c r="H10" i="42"/>
  <c r="E17" i="42"/>
  <c r="F17" i="42"/>
  <c r="G17" i="42"/>
  <c r="H17" i="42"/>
  <c r="I17" i="42"/>
  <c r="J17" i="42"/>
  <c r="J21" i="42"/>
  <c r="J23" i="42"/>
  <c r="J27" i="42"/>
  <c r="J28" i="42"/>
  <c r="J29" i="42"/>
  <c r="J34" i="42"/>
  <c r="J37" i="42"/>
  <c r="J43" i="42"/>
  <c r="J45" i="42"/>
  <c r="J47" i="42"/>
  <c r="G10" i="42"/>
  <c r="I21" i="42"/>
  <c r="I23" i="42"/>
  <c r="I27" i="42"/>
  <c r="I28" i="42"/>
  <c r="I29" i="42"/>
  <c r="I34" i="42"/>
  <c r="I37" i="42"/>
  <c r="I43" i="42"/>
  <c r="I45" i="42"/>
  <c r="I47" i="42"/>
  <c r="F10" i="42"/>
  <c r="H21" i="42"/>
  <c r="H23" i="42"/>
  <c r="H27" i="42"/>
  <c r="H28" i="42"/>
  <c r="H29" i="42"/>
  <c r="H34" i="42"/>
  <c r="H37" i="42"/>
  <c r="H43" i="42"/>
  <c r="H45" i="42"/>
  <c r="H47" i="42"/>
  <c r="E10" i="42"/>
  <c r="G21" i="42"/>
  <c r="G23" i="42"/>
  <c r="G27" i="42"/>
  <c r="G28" i="42"/>
  <c r="G29" i="42"/>
  <c r="G34" i="42"/>
  <c r="G37" i="42"/>
  <c r="G43" i="42"/>
  <c r="G45" i="42"/>
  <c r="G47" i="42"/>
  <c r="D10" i="42"/>
  <c r="F21" i="42"/>
  <c r="F23" i="42"/>
  <c r="F27" i="42"/>
  <c r="F28" i="42"/>
  <c r="F29" i="42"/>
  <c r="F34" i="42"/>
  <c r="F37" i="42"/>
  <c r="F43" i="42"/>
  <c r="F45" i="42"/>
  <c r="F47" i="42"/>
  <c r="C10" i="42"/>
  <c r="E21" i="42"/>
  <c r="E23" i="42"/>
  <c r="E27" i="42"/>
  <c r="E28" i="42"/>
  <c r="E29" i="42"/>
  <c r="E34" i="42"/>
  <c r="E37" i="42"/>
  <c r="E43" i="42"/>
  <c r="E45" i="42"/>
  <c r="E47" i="42"/>
  <c r="B10" i="42"/>
  <c r="D21" i="42"/>
  <c r="D23" i="42"/>
  <c r="D27" i="42"/>
  <c r="D28" i="42"/>
  <c r="D29" i="42"/>
  <c r="D34" i="42"/>
  <c r="D37" i="42"/>
  <c r="D43" i="42"/>
  <c r="D45" i="42"/>
  <c r="D47" i="42"/>
  <c r="B77" i="81"/>
  <c r="C65" i="81"/>
  <c r="C77" i="81"/>
  <c r="D65" i="81"/>
  <c r="D77" i="81"/>
  <c r="E65" i="81"/>
  <c r="E77" i="81"/>
  <c r="F65" i="81"/>
  <c r="F77" i="81"/>
  <c r="G65" i="81"/>
  <c r="G77" i="81"/>
  <c r="H65" i="81"/>
  <c r="H77" i="81"/>
  <c r="H23" i="72"/>
  <c r="D33" i="72"/>
  <c r="E33" i="72"/>
  <c r="F33" i="72"/>
  <c r="G33" i="72"/>
  <c r="H33" i="72"/>
  <c r="H34" i="72"/>
  <c r="H47" i="72"/>
  <c r="H95" i="72"/>
  <c r="G23" i="72"/>
  <c r="G34" i="72"/>
  <c r="G47" i="72"/>
  <c r="G95" i="72"/>
  <c r="E133" i="72"/>
  <c r="F133" i="72"/>
  <c r="G133" i="72"/>
  <c r="H133" i="72"/>
  <c r="I133" i="72"/>
  <c r="J133" i="72"/>
  <c r="J139" i="72"/>
  <c r="B68" i="81"/>
  <c r="C68" i="81"/>
  <c r="D68" i="81"/>
  <c r="E68" i="81"/>
  <c r="F68" i="81"/>
  <c r="G68" i="81"/>
  <c r="H68" i="81"/>
  <c r="H14" i="72"/>
  <c r="H38" i="72"/>
  <c r="H63" i="72"/>
  <c r="G14" i="72"/>
  <c r="G38" i="72"/>
  <c r="G63" i="72"/>
  <c r="J140" i="72"/>
  <c r="B72" i="81"/>
  <c r="C72" i="81"/>
  <c r="D72" i="81"/>
  <c r="E72" i="81"/>
  <c r="F72" i="81"/>
  <c r="G72" i="81"/>
  <c r="H72" i="81"/>
  <c r="H18" i="72"/>
  <c r="H42" i="72"/>
  <c r="H78" i="72"/>
  <c r="G18" i="72"/>
  <c r="G42" i="72"/>
  <c r="G78" i="72"/>
  <c r="J141" i="72"/>
  <c r="B70" i="81"/>
  <c r="C70" i="81"/>
  <c r="D70" i="81"/>
  <c r="E70" i="81"/>
  <c r="F70" i="81"/>
  <c r="G70" i="81"/>
  <c r="H70" i="81"/>
  <c r="H16" i="72"/>
  <c r="H40" i="72"/>
  <c r="H70" i="72"/>
  <c r="G16" i="72"/>
  <c r="G40" i="72"/>
  <c r="G70" i="72"/>
  <c r="J142" i="72"/>
  <c r="J147" i="72"/>
  <c r="B67" i="81"/>
  <c r="C67" i="81"/>
  <c r="D67" i="81"/>
  <c r="E67" i="81"/>
  <c r="F67" i="81"/>
  <c r="G67" i="81"/>
  <c r="H67" i="81"/>
  <c r="H13" i="72"/>
  <c r="B69" i="81"/>
  <c r="C69" i="81"/>
  <c r="D69" i="81"/>
  <c r="E69" i="81"/>
  <c r="F69" i="81"/>
  <c r="G69" i="81"/>
  <c r="H69" i="81"/>
  <c r="H15" i="72"/>
  <c r="B71" i="81"/>
  <c r="C71" i="81"/>
  <c r="D71" i="81"/>
  <c r="E71" i="81"/>
  <c r="F71" i="81"/>
  <c r="G71" i="81"/>
  <c r="H71" i="81"/>
  <c r="H17" i="72"/>
  <c r="B73" i="81"/>
  <c r="C73" i="81"/>
  <c r="D73" i="81"/>
  <c r="E73" i="81"/>
  <c r="F73" i="81"/>
  <c r="G73" i="81"/>
  <c r="H73" i="81"/>
  <c r="H19" i="72"/>
  <c r="B74" i="81"/>
  <c r="C74" i="81"/>
  <c r="D74" i="81"/>
  <c r="E74" i="81"/>
  <c r="F74" i="81"/>
  <c r="G74" i="81"/>
  <c r="H74" i="81"/>
  <c r="H20" i="72"/>
  <c r="B75" i="81"/>
  <c r="C75" i="81"/>
  <c r="D75" i="81"/>
  <c r="E75" i="81"/>
  <c r="F75" i="81"/>
  <c r="G75" i="81"/>
  <c r="H75" i="81"/>
  <c r="H21" i="72"/>
  <c r="B76" i="81"/>
  <c r="C76" i="81"/>
  <c r="D76" i="81"/>
  <c r="E76" i="81"/>
  <c r="F76" i="81"/>
  <c r="G76" i="81"/>
  <c r="H76" i="81"/>
  <c r="H22" i="72"/>
  <c r="B78" i="81"/>
  <c r="C78" i="81"/>
  <c r="D78" i="81"/>
  <c r="E78" i="81"/>
  <c r="F78" i="81"/>
  <c r="G78" i="81"/>
  <c r="H78" i="81"/>
  <c r="H24" i="72"/>
  <c r="B79" i="81"/>
  <c r="C79" i="81"/>
  <c r="D79" i="81"/>
  <c r="E79" i="81"/>
  <c r="F79" i="81"/>
  <c r="G79" i="81"/>
  <c r="H79" i="81"/>
  <c r="H25" i="72"/>
  <c r="B80" i="81"/>
  <c r="C80" i="81"/>
  <c r="D80" i="81"/>
  <c r="E80" i="81"/>
  <c r="F80" i="81"/>
  <c r="G80" i="81"/>
  <c r="H80" i="81"/>
  <c r="H26" i="72"/>
  <c r="B81" i="81"/>
  <c r="C81" i="81"/>
  <c r="D81" i="81"/>
  <c r="E81" i="81"/>
  <c r="F81" i="81"/>
  <c r="G81" i="81"/>
  <c r="H81" i="81"/>
  <c r="H27" i="72"/>
  <c r="B82" i="81"/>
  <c r="C82" i="81"/>
  <c r="D82" i="81"/>
  <c r="E82" i="81"/>
  <c r="F82" i="81"/>
  <c r="G82" i="81"/>
  <c r="H82" i="81"/>
  <c r="H28" i="72"/>
  <c r="B83" i="81"/>
  <c r="C83" i="81"/>
  <c r="D83" i="81"/>
  <c r="E83" i="81"/>
  <c r="F83" i="81"/>
  <c r="G83" i="81"/>
  <c r="H83" i="81"/>
  <c r="H29" i="72"/>
  <c r="B84" i="81"/>
  <c r="C84" i="81"/>
  <c r="D84" i="81"/>
  <c r="E84" i="81"/>
  <c r="F84" i="81"/>
  <c r="G84" i="81"/>
  <c r="H84" i="81"/>
  <c r="H30" i="72"/>
  <c r="B85" i="81"/>
  <c r="C85" i="81"/>
  <c r="D85" i="81"/>
  <c r="E85" i="81"/>
  <c r="F85" i="81"/>
  <c r="G85" i="81"/>
  <c r="H85" i="81"/>
  <c r="H31" i="72"/>
  <c r="H32" i="72"/>
  <c r="H35" i="72"/>
  <c r="J149" i="72"/>
  <c r="J151" i="72"/>
  <c r="J155" i="72"/>
  <c r="J156" i="72"/>
  <c r="J157" i="72"/>
  <c r="J158" i="72"/>
  <c r="J159" i="72"/>
  <c r="H12" i="72"/>
  <c r="J160" i="72"/>
  <c r="H47" i="57"/>
  <c r="B161" i="72"/>
  <c r="J161" i="72"/>
  <c r="J162" i="72"/>
  <c r="J163" i="72"/>
  <c r="J164" i="72"/>
  <c r="I155" i="72"/>
  <c r="I156" i="72"/>
  <c r="I157" i="72"/>
  <c r="I158" i="72"/>
  <c r="G13" i="72"/>
  <c r="G15" i="72"/>
  <c r="G17" i="72"/>
  <c r="G19" i="72"/>
  <c r="G20" i="72"/>
  <c r="G21" i="72"/>
  <c r="G22" i="72"/>
  <c r="G24" i="72"/>
  <c r="G25" i="72"/>
  <c r="G26" i="72"/>
  <c r="G27" i="72"/>
  <c r="G28" i="72"/>
  <c r="G29" i="72"/>
  <c r="G30" i="72"/>
  <c r="G31" i="72"/>
  <c r="G32" i="72"/>
  <c r="I159" i="72"/>
  <c r="G12" i="72"/>
  <c r="I160" i="72"/>
  <c r="I161" i="72"/>
  <c r="G35" i="72"/>
  <c r="I162" i="72"/>
  <c r="I163" i="72"/>
  <c r="J16" i="61"/>
  <c r="K7" i="61"/>
  <c r="J169" i="72"/>
  <c r="K16" i="61"/>
  <c r="J170" i="72"/>
  <c r="J172" i="72"/>
  <c r="J175" i="72"/>
  <c r="J180" i="72"/>
  <c r="J181" i="72"/>
  <c r="J183" i="72"/>
  <c r="F23" i="72"/>
  <c r="F34" i="72"/>
  <c r="F47" i="72"/>
  <c r="F95" i="72"/>
  <c r="I139" i="72"/>
  <c r="F14" i="72"/>
  <c r="F38" i="72"/>
  <c r="F63" i="72"/>
  <c r="I140" i="72"/>
  <c r="F18" i="72"/>
  <c r="F42" i="72"/>
  <c r="F78" i="72"/>
  <c r="I141" i="72"/>
  <c r="F16" i="72"/>
  <c r="F40" i="72"/>
  <c r="F70" i="72"/>
  <c r="I142" i="72"/>
  <c r="I147" i="72"/>
  <c r="I149" i="72"/>
  <c r="I151" i="72"/>
  <c r="I164" i="72"/>
  <c r="H155" i="72"/>
  <c r="H156" i="72"/>
  <c r="H157" i="72"/>
  <c r="H158" i="72"/>
  <c r="F13" i="72"/>
  <c r="F15" i="72"/>
  <c r="F17" i="72"/>
  <c r="F19" i="72"/>
  <c r="F20" i="72"/>
  <c r="F21" i="72"/>
  <c r="F22" i="72"/>
  <c r="F24" i="72"/>
  <c r="F25" i="72"/>
  <c r="F26" i="72"/>
  <c r="F27" i="72"/>
  <c r="F28" i="72"/>
  <c r="F29" i="72"/>
  <c r="F30" i="72"/>
  <c r="F31" i="72"/>
  <c r="F32" i="72"/>
  <c r="H159" i="72"/>
  <c r="F12" i="72"/>
  <c r="H160" i="72"/>
  <c r="H161" i="72"/>
  <c r="F35" i="72"/>
  <c r="H162" i="72"/>
  <c r="H163" i="72"/>
  <c r="I16" i="61"/>
  <c r="J7" i="61"/>
  <c r="I169" i="72"/>
  <c r="I170" i="72"/>
  <c r="I172" i="72"/>
  <c r="I175" i="72"/>
  <c r="I180" i="72"/>
  <c r="I181" i="72"/>
  <c r="I183" i="72"/>
  <c r="E23" i="72"/>
  <c r="E34" i="72"/>
  <c r="E47" i="72"/>
  <c r="E95" i="72"/>
  <c r="H139" i="72"/>
  <c r="E14" i="72"/>
  <c r="E38" i="72"/>
  <c r="E63" i="72"/>
  <c r="H140" i="72"/>
  <c r="E18" i="72"/>
  <c r="E42" i="72"/>
  <c r="E78" i="72"/>
  <c r="H141" i="72"/>
  <c r="E16" i="72"/>
  <c r="E40" i="72"/>
  <c r="E70" i="72"/>
  <c r="H142" i="72"/>
  <c r="H147" i="72"/>
  <c r="H149" i="72"/>
  <c r="H151" i="72"/>
  <c r="H164" i="72"/>
  <c r="G155" i="72"/>
  <c r="G156" i="72"/>
  <c r="G157" i="72"/>
  <c r="G158" i="72"/>
  <c r="E13" i="72"/>
  <c r="E15" i="72"/>
  <c r="E17" i="72"/>
  <c r="E19" i="72"/>
  <c r="E20" i="72"/>
  <c r="E21" i="72"/>
  <c r="E22" i="72"/>
  <c r="E24" i="72"/>
  <c r="E25" i="72"/>
  <c r="E26" i="72"/>
  <c r="E27" i="72"/>
  <c r="E28" i="72"/>
  <c r="E29" i="72"/>
  <c r="E30" i="72"/>
  <c r="E31" i="72"/>
  <c r="E32" i="72"/>
  <c r="G159" i="72"/>
  <c r="E12" i="72"/>
  <c r="G160" i="72"/>
  <c r="G161" i="72"/>
  <c r="E35" i="72"/>
  <c r="G162" i="72"/>
  <c r="G163" i="72"/>
  <c r="H16" i="61"/>
  <c r="I7" i="61"/>
  <c r="H169" i="72"/>
  <c r="H170" i="72"/>
  <c r="H172" i="72"/>
  <c r="H175" i="72"/>
  <c r="H180" i="72"/>
  <c r="H181" i="72"/>
  <c r="H183" i="72"/>
  <c r="D23" i="72"/>
  <c r="D34" i="72"/>
  <c r="D47" i="72"/>
  <c r="D95" i="72"/>
  <c r="G139" i="72"/>
  <c r="D14" i="72"/>
  <c r="D38" i="72"/>
  <c r="D63" i="72"/>
  <c r="G140" i="72"/>
  <c r="D18" i="72"/>
  <c r="D42" i="72"/>
  <c r="D78" i="72"/>
  <c r="G141" i="72"/>
  <c r="D16" i="72"/>
  <c r="D40" i="72"/>
  <c r="D70" i="72"/>
  <c r="G142" i="72"/>
  <c r="G147" i="72"/>
  <c r="G149" i="72"/>
  <c r="G151" i="72"/>
  <c r="G164" i="72"/>
  <c r="F155" i="72"/>
  <c r="F156" i="72"/>
  <c r="F157" i="72"/>
  <c r="F158" i="72"/>
  <c r="D13" i="72"/>
  <c r="D15" i="72"/>
  <c r="D17" i="72"/>
  <c r="D19" i="72"/>
  <c r="D20" i="72"/>
  <c r="D21" i="72"/>
  <c r="D22" i="72"/>
  <c r="D24" i="72"/>
  <c r="D25" i="72"/>
  <c r="D26" i="72"/>
  <c r="D27" i="72"/>
  <c r="D28" i="72"/>
  <c r="D29" i="72"/>
  <c r="D30" i="72"/>
  <c r="D31" i="72"/>
  <c r="D32" i="72"/>
  <c r="F159" i="72"/>
  <c r="D12" i="72"/>
  <c r="F160" i="72"/>
  <c r="F161" i="72"/>
  <c r="D35" i="72"/>
  <c r="F162" i="72"/>
  <c r="F163" i="72"/>
  <c r="G16" i="61"/>
  <c r="H7" i="61"/>
  <c r="G169" i="72"/>
  <c r="G170" i="72"/>
  <c r="G172" i="72"/>
  <c r="G175" i="72"/>
  <c r="G180" i="72"/>
  <c r="G181" i="72"/>
  <c r="G183" i="72"/>
  <c r="C23" i="72"/>
  <c r="C34" i="72"/>
  <c r="C47" i="72"/>
  <c r="C95" i="72"/>
  <c r="F139" i="72"/>
  <c r="C14" i="72"/>
  <c r="C38" i="72"/>
  <c r="C63" i="72"/>
  <c r="F140" i="72"/>
  <c r="C18" i="72"/>
  <c r="C42" i="72"/>
  <c r="C78" i="72"/>
  <c r="F141" i="72"/>
  <c r="C16" i="72"/>
  <c r="C40" i="72"/>
  <c r="C70" i="72"/>
  <c r="F142" i="72"/>
  <c r="F147" i="72"/>
  <c r="F149" i="72"/>
  <c r="F151" i="72"/>
  <c r="F164" i="72"/>
  <c r="E155" i="72"/>
  <c r="E156" i="72"/>
  <c r="E157" i="72"/>
  <c r="E158" i="72"/>
  <c r="C13" i="72"/>
  <c r="C15" i="72"/>
  <c r="C17" i="72"/>
  <c r="C19" i="72"/>
  <c r="C20" i="72"/>
  <c r="C21" i="72"/>
  <c r="C22" i="72"/>
  <c r="C24" i="72"/>
  <c r="C25" i="72"/>
  <c r="C26" i="72"/>
  <c r="C27" i="72"/>
  <c r="C28" i="72"/>
  <c r="C29" i="72"/>
  <c r="C30" i="72"/>
  <c r="C31" i="72"/>
  <c r="C32" i="72"/>
  <c r="E159" i="72"/>
  <c r="C12" i="72"/>
  <c r="E160" i="72"/>
  <c r="E161" i="72"/>
  <c r="C35" i="72"/>
  <c r="E162" i="72"/>
  <c r="E163" i="72"/>
  <c r="F16" i="61"/>
  <c r="G7" i="61"/>
  <c r="F169" i="72"/>
  <c r="F170" i="72"/>
  <c r="F172" i="72"/>
  <c r="F175" i="72"/>
  <c r="F180" i="72"/>
  <c r="F181" i="72"/>
  <c r="F183" i="72"/>
  <c r="B23" i="72"/>
  <c r="B34" i="72"/>
  <c r="B47" i="72"/>
  <c r="B95" i="72"/>
  <c r="E139" i="72"/>
  <c r="B14" i="72"/>
  <c r="B38" i="72"/>
  <c r="B63" i="72"/>
  <c r="E140" i="72"/>
  <c r="B18" i="72"/>
  <c r="B42" i="72"/>
  <c r="B78" i="72"/>
  <c r="E141" i="72"/>
  <c r="B16" i="72"/>
  <c r="B40" i="72"/>
  <c r="B70" i="72"/>
  <c r="E142" i="72"/>
  <c r="E147" i="72"/>
  <c r="E149" i="72"/>
  <c r="E151" i="72"/>
  <c r="E164" i="72"/>
  <c r="D155" i="72"/>
  <c r="D156" i="72"/>
  <c r="D157" i="72"/>
  <c r="D158" i="72"/>
  <c r="B13" i="72"/>
  <c r="B15" i="72"/>
  <c r="B17" i="72"/>
  <c r="B19" i="72"/>
  <c r="B20" i="72"/>
  <c r="B21" i="72"/>
  <c r="B22" i="72"/>
  <c r="B24" i="72"/>
  <c r="B25" i="72"/>
  <c r="B26" i="72"/>
  <c r="B27" i="72"/>
  <c r="B28" i="72"/>
  <c r="B29" i="72"/>
  <c r="B30" i="72"/>
  <c r="B31" i="72"/>
  <c r="B32" i="72"/>
  <c r="D159" i="72"/>
  <c r="B12" i="72"/>
  <c r="D160" i="72"/>
  <c r="D161" i="72"/>
  <c r="B35" i="72"/>
  <c r="D162" i="72"/>
  <c r="D163" i="72"/>
  <c r="E16" i="61"/>
  <c r="F7" i="61"/>
  <c r="E169" i="72"/>
  <c r="E170" i="72"/>
  <c r="E172" i="72"/>
  <c r="E175" i="72"/>
  <c r="E180" i="72"/>
  <c r="E181" i="72"/>
  <c r="E183" i="72"/>
  <c r="D139" i="72"/>
  <c r="D140" i="72"/>
  <c r="D141" i="72"/>
  <c r="D142" i="72"/>
  <c r="D147" i="72"/>
  <c r="D149" i="72"/>
  <c r="D151" i="72"/>
  <c r="D164" i="72"/>
  <c r="D170" i="72"/>
  <c r="D172" i="72"/>
  <c r="D175" i="72"/>
  <c r="D180" i="72"/>
  <c r="D181" i="72"/>
  <c r="D183" i="72"/>
  <c r="A14" i="55"/>
  <c r="A71" i="55"/>
  <c r="A123" i="55"/>
  <c r="A181" i="55"/>
  <c r="A142" i="72"/>
  <c r="A158" i="72"/>
  <c r="A13" i="55"/>
  <c r="A70" i="55"/>
  <c r="A122" i="55"/>
  <c r="A180" i="55"/>
  <c r="A141" i="72"/>
  <c r="A157" i="72"/>
  <c r="A12" i="55"/>
  <c r="A69" i="55"/>
  <c r="A121" i="55"/>
  <c r="A179" i="55"/>
  <c r="A140" i="72"/>
  <c r="A156" i="72"/>
  <c r="A11" i="55"/>
  <c r="A68" i="55"/>
  <c r="A120" i="55"/>
  <c r="A178" i="55"/>
  <c r="A139" i="72"/>
  <c r="A155" i="72"/>
  <c r="K148"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H96" i="72"/>
  <c r="G96" i="72"/>
  <c r="F96" i="72"/>
  <c r="E96" i="72"/>
  <c r="D96" i="72"/>
  <c r="C96" i="72"/>
  <c r="B96" i="72"/>
  <c r="A23" i="72"/>
  <c r="A47" i="72"/>
  <c r="A94" i="72"/>
  <c r="A22" i="72"/>
  <c r="A46" i="72"/>
  <c r="A91" i="72"/>
  <c r="A50" i="81"/>
  <c r="A75" i="81"/>
  <c r="A21" i="72"/>
  <c r="A45" i="72"/>
  <c r="A87" i="72"/>
  <c r="A20" i="72"/>
  <c r="A44" i="72"/>
  <c r="A83" i="72"/>
  <c r="A19" i="72"/>
  <c r="A43" i="72"/>
  <c r="A80" i="72"/>
  <c r="H79" i="72"/>
  <c r="G79" i="72"/>
  <c r="F79" i="72"/>
  <c r="E79" i="72"/>
  <c r="D79" i="72"/>
  <c r="C79" i="72"/>
  <c r="B79" i="72"/>
  <c r="A18" i="72"/>
  <c r="A42" i="72"/>
  <c r="A77" i="72"/>
  <c r="A17" i="72"/>
  <c r="A41" i="72"/>
  <c r="A72" i="72"/>
  <c r="H71" i="72"/>
  <c r="G71" i="72"/>
  <c r="F71" i="72"/>
  <c r="E71" i="72"/>
  <c r="D71" i="72"/>
  <c r="C71" i="72"/>
  <c r="B71" i="72"/>
  <c r="A16" i="72"/>
  <c r="A40" i="72"/>
  <c r="A69" i="72"/>
  <c r="A15" i="72"/>
  <c r="A39" i="72"/>
  <c r="A65" i="72"/>
  <c r="H64" i="72"/>
  <c r="G64" i="72"/>
  <c r="F64" i="72"/>
  <c r="E64" i="72"/>
  <c r="D64" i="72"/>
  <c r="C64" i="72"/>
  <c r="B64" i="72"/>
  <c r="A14" i="72"/>
  <c r="A38" i="72"/>
  <c r="A62" i="72"/>
  <c r="A13" i="72"/>
  <c r="A37" i="72"/>
  <c r="A58" i="72"/>
  <c r="H55" i="72"/>
  <c r="G55" i="72"/>
  <c r="F55" i="72"/>
  <c r="E55" i="72"/>
  <c r="D55" i="72"/>
  <c r="C55" i="72"/>
  <c r="B55" i="72"/>
  <c r="H54" i="72"/>
  <c r="G54" i="72"/>
  <c r="F54" i="72"/>
  <c r="E54" i="72"/>
  <c r="D54" i="72"/>
  <c r="C54" i="72"/>
  <c r="B54" i="72"/>
  <c r="H53" i="72"/>
  <c r="G53" i="72"/>
  <c r="F53" i="72"/>
  <c r="E53" i="72"/>
  <c r="D53" i="72"/>
  <c r="C53" i="72"/>
  <c r="B53" i="72"/>
  <c r="H52" i="72"/>
  <c r="G52" i="72"/>
  <c r="F52" i="72"/>
  <c r="E52" i="72"/>
  <c r="D52" i="72"/>
  <c r="C52" i="72"/>
  <c r="B52" i="72"/>
  <c r="H51" i="72"/>
  <c r="G51" i="72"/>
  <c r="F51" i="72"/>
  <c r="E51" i="72"/>
  <c r="D51" i="72"/>
  <c r="C51" i="72"/>
  <c r="B51" i="72"/>
  <c r="H50" i="72"/>
  <c r="G50" i="72"/>
  <c r="F50" i="72"/>
  <c r="E50" i="72"/>
  <c r="D50" i="72"/>
  <c r="C50" i="72"/>
  <c r="B50" i="72"/>
  <c r="H49" i="72"/>
  <c r="G49" i="72"/>
  <c r="F49" i="72"/>
  <c r="E49" i="72"/>
  <c r="D49" i="72"/>
  <c r="C49" i="72"/>
  <c r="B49" i="72"/>
  <c r="H48" i="72"/>
  <c r="G48" i="72"/>
  <c r="F48" i="72"/>
  <c r="E48" i="72"/>
  <c r="D48" i="72"/>
  <c r="C48" i="72"/>
  <c r="B48" i="72"/>
  <c r="H46" i="72"/>
  <c r="G46" i="72"/>
  <c r="F46" i="72"/>
  <c r="E46" i="72"/>
  <c r="D46" i="72"/>
  <c r="C46" i="72"/>
  <c r="B46" i="72"/>
  <c r="H45" i="72"/>
  <c r="G45" i="72"/>
  <c r="F45" i="72"/>
  <c r="E45" i="72"/>
  <c r="D45" i="72"/>
  <c r="C45" i="72"/>
  <c r="B45" i="72"/>
  <c r="H44" i="72"/>
  <c r="G44" i="72"/>
  <c r="F44" i="72"/>
  <c r="E44" i="72"/>
  <c r="D44" i="72"/>
  <c r="C44" i="72"/>
  <c r="B44" i="72"/>
  <c r="H43" i="72"/>
  <c r="G43" i="72"/>
  <c r="F43" i="72"/>
  <c r="E43" i="72"/>
  <c r="D43" i="72"/>
  <c r="C43" i="72"/>
  <c r="B43" i="72"/>
  <c r="H41" i="72"/>
  <c r="G41" i="72"/>
  <c r="F41" i="72"/>
  <c r="E41" i="72"/>
  <c r="D41" i="72"/>
  <c r="C41" i="72"/>
  <c r="B41" i="72"/>
  <c r="H39" i="72"/>
  <c r="G39" i="72"/>
  <c r="F39" i="72"/>
  <c r="E39" i="72"/>
  <c r="D39" i="72"/>
  <c r="C39" i="72"/>
  <c r="B39" i="72"/>
  <c r="H37" i="72"/>
  <c r="G37" i="72"/>
  <c r="F37" i="72"/>
  <c r="E37" i="72"/>
  <c r="D37" i="72"/>
  <c r="C37" i="72"/>
  <c r="B37" i="72"/>
  <c r="C40" i="81"/>
  <c r="C42" i="81"/>
  <c r="D40" i="81"/>
  <c r="D42" i="81"/>
  <c r="E40" i="81"/>
  <c r="E42" i="81"/>
  <c r="F40" i="81"/>
  <c r="F42" i="81"/>
  <c r="G40" i="81"/>
  <c r="G42" i="81"/>
  <c r="H40" i="81"/>
  <c r="H42" i="81"/>
  <c r="H11" i="55"/>
  <c r="H63" i="55"/>
  <c r="H68" i="55"/>
  <c r="H120" i="55"/>
  <c r="G11" i="55"/>
  <c r="G63" i="55"/>
  <c r="G68" i="55"/>
  <c r="G120" i="55"/>
  <c r="E172" i="55"/>
  <c r="F172" i="55"/>
  <c r="G172" i="55"/>
  <c r="H172" i="55"/>
  <c r="I172" i="55"/>
  <c r="J172" i="55"/>
  <c r="J178" i="55"/>
  <c r="C43" i="81"/>
  <c r="D43" i="81"/>
  <c r="E43" i="81"/>
  <c r="F43" i="81"/>
  <c r="G43" i="81"/>
  <c r="H43" i="81"/>
  <c r="H12" i="55"/>
  <c r="H69" i="55"/>
  <c r="H121" i="55"/>
  <c r="G12" i="55"/>
  <c r="G69" i="55"/>
  <c r="G121" i="55"/>
  <c r="J179" i="55"/>
  <c r="C44" i="81"/>
  <c r="D44" i="81"/>
  <c r="E44" i="81"/>
  <c r="F44" i="81"/>
  <c r="G44" i="81"/>
  <c r="H44" i="81"/>
  <c r="H13" i="55"/>
  <c r="H70" i="55"/>
  <c r="H122" i="55"/>
  <c r="G13" i="55"/>
  <c r="G70" i="55"/>
  <c r="G122" i="55"/>
  <c r="J180" i="55"/>
  <c r="C45" i="81"/>
  <c r="D45" i="81"/>
  <c r="E45" i="81"/>
  <c r="F45" i="81"/>
  <c r="G45" i="81"/>
  <c r="H45" i="81"/>
  <c r="H14" i="55"/>
  <c r="H71" i="55"/>
  <c r="H123" i="55"/>
  <c r="G14" i="55"/>
  <c r="G71" i="55"/>
  <c r="G123" i="55"/>
  <c r="J181" i="55"/>
  <c r="C46" i="81"/>
  <c r="D46" i="81"/>
  <c r="E46" i="81"/>
  <c r="F46" i="81"/>
  <c r="G46" i="81"/>
  <c r="H46" i="81"/>
  <c r="H15" i="55"/>
  <c r="H72" i="55"/>
  <c r="H124" i="55"/>
  <c r="G15" i="55"/>
  <c r="G72" i="55"/>
  <c r="G124" i="55"/>
  <c r="J182" i="55"/>
  <c r="C47" i="81"/>
  <c r="D47" i="81"/>
  <c r="E47" i="81"/>
  <c r="F47" i="81"/>
  <c r="G47" i="81"/>
  <c r="H47" i="81"/>
  <c r="H16" i="55"/>
  <c r="H73" i="55"/>
  <c r="H125" i="55"/>
  <c r="G16" i="55"/>
  <c r="G73" i="55"/>
  <c r="G125" i="55"/>
  <c r="J183" i="55"/>
  <c r="C48" i="81"/>
  <c r="D48" i="81"/>
  <c r="E48" i="81"/>
  <c r="F48" i="81"/>
  <c r="G48" i="81"/>
  <c r="H48" i="81"/>
  <c r="H17" i="55"/>
  <c r="H74" i="55"/>
  <c r="H126" i="55"/>
  <c r="G17" i="55"/>
  <c r="G74" i="55"/>
  <c r="G126" i="55"/>
  <c r="J184" i="55"/>
  <c r="C49" i="81"/>
  <c r="D49" i="81"/>
  <c r="E49" i="81"/>
  <c r="F49" i="81"/>
  <c r="G49" i="81"/>
  <c r="H49" i="81"/>
  <c r="H18" i="55"/>
  <c r="H75" i="55"/>
  <c r="H127" i="55"/>
  <c r="G18" i="55"/>
  <c r="G75" i="55"/>
  <c r="G127" i="55"/>
  <c r="J185" i="55"/>
  <c r="C50" i="81"/>
  <c r="D50" i="81"/>
  <c r="E50" i="81"/>
  <c r="F50" i="81"/>
  <c r="G50" i="81"/>
  <c r="H50" i="81"/>
  <c r="H19" i="55"/>
  <c r="H76" i="55"/>
  <c r="H128" i="55"/>
  <c r="G19" i="55"/>
  <c r="G76" i="55"/>
  <c r="G128" i="55"/>
  <c r="J186" i="55"/>
  <c r="C51" i="81"/>
  <c r="D51" i="81"/>
  <c r="E51" i="81"/>
  <c r="F51" i="81"/>
  <c r="G51" i="81"/>
  <c r="H51" i="81"/>
  <c r="H20" i="55"/>
  <c r="H77" i="55"/>
  <c r="H129" i="55"/>
  <c r="G20" i="55"/>
  <c r="G77" i="55"/>
  <c r="G129" i="55"/>
  <c r="J187" i="55"/>
  <c r="C52" i="81"/>
  <c r="D52" i="81"/>
  <c r="E52" i="81"/>
  <c r="F52" i="81"/>
  <c r="G52" i="81"/>
  <c r="H52" i="81"/>
  <c r="H21" i="55"/>
  <c r="H78" i="55"/>
  <c r="H130" i="55"/>
  <c r="G21" i="55"/>
  <c r="G78" i="55"/>
  <c r="G130" i="55"/>
  <c r="J188" i="55"/>
  <c r="C53" i="81"/>
  <c r="D53" i="81"/>
  <c r="E53" i="81"/>
  <c r="F53" i="81"/>
  <c r="G53" i="81"/>
  <c r="H53" i="81"/>
  <c r="H22" i="55"/>
  <c r="H79" i="55"/>
  <c r="H131" i="55"/>
  <c r="G22" i="55"/>
  <c r="G79" i="55"/>
  <c r="G131" i="55"/>
  <c r="J189" i="55"/>
  <c r="C54" i="81"/>
  <c r="D54" i="81"/>
  <c r="E54" i="81"/>
  <c r="F54" i="81"/>
  <c r="G54" i="81"/>
  <c r="H54" i="81"/>
  <c r="H23" i="55"/>
  <c r="H80" i="55"/>
  <c r="H132" i="55"/>
  <c r="G23" i="55"/>
  <c r="G80" i="55"/>
  <c r="G132" i="55"/>
  <c r="J190" i="55"/>
  <c r="C55" i="81"/>
  <c r="D55" i="81"/>
  <c r="E55" i="81"/>
  <c r="F55" i="81"/>
  <c r="G55" i="81"/>
  <c r="H55" i="81"/>
  <c r="H24" i="55"/>
  <c r="H81" i="55"/>
  <c r="H133" i="55"/>
  <c r="G24" i="55"/>
  <c r="G81" i="55"/>
  <c r="G133" i="55"/>
  <c r="J191" i="55"/>
  <c r="C56" i="81"/>
  <c r="D56" i="81"/>
  <c r="E56" i="81"/>
  <c r="F56" i="81"/>
  <c r="G56" i="81"/>
  <c r="H56" i="81"/>
  <c r="H25" i="55"/>
  <c r="H82" i="55"/>
  <c r="H134" i="55"/>
  <c r="G25" i="55"/>
  <c r="G82" i="55"/>
  <c r="G134" i="55"/>
  <c r="J192" i="55"/>
  <c r="C57" i="81"/>
  <c r="D57" i="81"/>
  <c r="E57" i="81"/>
  <c r="F57" i="81"/>
  <c r="G57" i="81"/>
  <c r="H57" i="81"/>
  <c r="H26" i="55"/>
  <c r="H83" i="55"/>
  <c r="H135" i="55"/>
  <c r="G26" i="55"/>
  <c r="G83" i="55"/>
  <c r="G135" i="55"/>
  <c r="J193" i="55"/>
  <c r="C58" i="81"/>
  <c r="D58" i="81"/>
  <c r="E58" i="81"/>
  <c r="F58" i="81"/>
  <c r="G58" i="81"/>
  <c r="H58" i="81"/>
  <c r="H27" i="55"/>
  <c r="H84" i="55"/>
  <c r="H136" i="55"/>
  <c r="G27" i="55"/>
  <c r="G84" i="55"/>
  <c r="G136" i="55"/>
  <c r="J194" i="55"/>
  <c r="C59" i="81"/>
  <c r="D59" i="81"/>
  <c r="E59" i="81"/>
  <c r="F59" i="81"/>
  <c r="G59" i="81"/>
  <c r="H59" i="81"/>
  <c r="H28" i="55"/>
  <c r="H85" i="55"/>
  <c r="H137" i="55"/>
  <c r="G28" i="55"/>
  <c r="G85" i="55"/>
  <c r="G137" i="55"/>
  <c r="J195" i="55"/>
  <c r="C60" i="81"/>
  <c r="D60" i="81"/>
  <c r="E60" i="81"/>
  <c r="F60" i="81"/>
  <c r="G60" i="81"/>
  <c r="H60" i="81"/>
  <c r="H29" i="55"/>
  <c r="H86" i="55"/>
  <c r="H138" i="55"/>
  <c r="G29" i="55"/>
  <c r="G86" i="55"/>
  <c r="G138" i="55"/>
  <c r="J196" i="55"/>
  <c r="C61" i="81"/>
  <c r="D61" i="81"/>
  <c r="E61" i="81"/>
  <c r="F61" i="81"/>
  <c r="G61" i="81"/>
  <c r="H61" i="81"/>
  <c r="H30" i="55"/>
  <c r="H87" i="55"/>
  <c r="H139" i="55"/>
  <c r="G30" i="55"/>
  <c r="G87" i="55"/>
  <c r="G139" i="55"/>
  <c r="J197" i="55"/>
  <c r="C62" i="81"/>
  <c r="D62" i="81"/>
  <c r="E62" i="81"/>
  <c r="F62" i="81"/>
  <c r="G62" i="81"/>
  <c r="H62" i="81"/>
  <c r="H31" i="55"/>
  <c r="H88" i="55"/>
  <c r="H140" i="55"/>
  <c r="G31" i="55"/>
  <c r="G88" i="55"/>
  <c r="G140" i="55"/>
  <c r="J198" i="55"/>
  <c r="H32" i="55"/>
  <c r="H33" i="55"/>
  <c r="H65" i="55"/>
  <c r="J200" i="55"/>
  <c r="C44" i="83"/>
  <c r="C46" i="83"/>
  <c r="D44" i="83"/>
  <c r="D46" i="83"/>
  <c r="E44" i="83"/>
  <c r="E46" i="83"/>
  <c r="F44" i="83"/>
  <c r="F46" i="83"/>
  <c r="G44" i="83"/>
  <c r="G46" i="83"/>
  <c r="H44" i="83"/>
  <c r="H46" i="83"/>
  <c r="H35" i="55"/>
  <c r="H92" i="55"/>
  <c r="H144" i="55"/>
  <c r="G35" i="55"/>
  <c r="G92" i="55"/>
  <c r="G144" i="55"/>
  <c r="J203" i="55"/>
  <c r="C47" i="83"/>
  <c r="D47" i="83"/>
  <c r="E47" i="83"/>
  <c r="F47" i="83"/>
  <c r="G47" i="83"/>
  <c r="H47" i="83"/>
  <c r="H36" i="55"/>
  <c r="H93" i="55"/>
  <c r="H145" i="55"/>
  <c r="G36" i="55"/>
  <c r="G93" i="55"/>
  <c r="G145" i="55"/>
  <c r="J204" i="55"/>
  <c r="C48" i="83"/>
  <c r="D48" i="83"/>
  <c r="E48" i="83"/>
  <c r="F48" i="83"/>
  <c r="G48" i="83"/>
  <c r="H48" i="83"/>
  <c r="H37" i="55"/>
  <c r="H94" i="55"/>
  <c r="H146" i="55"/>
  <c r="G37" i="55"/>
  <c r="G94" i="55"/>
  <c r="G146" i="55"/>
  <c r="J205" i="55"/>
  <c r="C49" i="83"/>
  <c r="D49" i="83"/>
  <c r="E49" i="83"/>
  <c r="F49" i="83"/>
  <c r="G49" i="83"/>
  <c r="H49" i="83"/>
  <c r="H38" i="55"/>
  <c r="H95" i="55"/>
  <c r="H147" i="55"/>
  <c r="G38" i="55"/>
  <c r="G95" i="55"/>
  <c r="G147" i="55"/>
  <c r="J206" i="55"/>
  <c r="C50" i="83"/>
  <c r="D50" i="83"/>
  <c r="E50" i="83"/>
  <c r="F50" i="83"/>
  <c r="G50" i="83"/>
  <c r="H50" i="83"/>
  <c r="H39" i="55"/>
  <c r="H96" i="55"/>
  <c r="H148" i="55"/>
  <c r="G39" i="55"/>
  <c r="G96" i="55"/>
  <c r="G148" i="55"/>
  <c r="J207" i="55"/>
  <c r="C51" i="83"/>
  <c r="D51" i="83"/>
  <c r="E51" i="83"/>
  <c r="F51" i="83"/>
  <c r="G51" i="83"/>
  <c r="H51" i="83"/>
  <c r="H40" i="55"/>
  <c r="H97" i="55"/>
  <c r="H149" i="55"/>
  <c r="G40" i="55"/>
  <c r="G97" i="55"/>
  <c r="G149" i="55"/>
  <c r="J208" i="55"/>
  <c r="C52" i="83"/>
  <c r="D52" i="83"/>
  <c r="E52" i="83"/>
  <c r="F52" i="83"/>
  <c r="G52" i="83"/>
  <c r="H52" i="83"/>
  <c r="H41" i="55"/>
  <c r="H98" i="55"/>
  <c r="H150" i="55"/>
  <c r="G41" i="55"/>
  <c r="G98" i="55"/>
  <c r="G150" i="55"/>
  <c r="J209" i="55"/>
  <c r="C53" i="83"/>
  <c r="D53" i="83"/>
  <c r="E53" i="83"/>
  <c r="F53" i="83"/>
  <c r="G53" i="83"/>
  <c r="H53" i="83"/>
  <c r="H42" i="55"/>
  <c r="H99" i="55"/>
  <c r="H151" i="55"/>
  <c r="G42" i="55"/>
  <c r="G99" i="55"/>
  <c r="G151" i="55"/>
  <c r="J210" i="55"/>
  <c r="C54" i="83"/>
  <c r="D54" i="83"/>
  <c r="E54" i="83"/>
  <c r="F54" i="83"/>
  <c r="G54" i="83"/>
  <c r="H54" i="83"/>
  <c r="H43" i="55"/>
  <c r="H100" i="55"/>
  <c r="H152" i="55"/>
  <c r="G43" i="55"/>
  <c r="G100" i="55"/>
  <c r="G152" i="55"/>
  <c r="J211" i="55"/>
  <c r="C55" i="83"/>
  <c r="D55" i="83"/>
  <c r="E55" i="83"/>
  <c r="F55" i="83"/>
  <c r="G55" i="83"/>
  <c r="H55" i="83"/>
  <c r="H44" i="55"/>
  <c r="H101" i="55"/>
  <c r="H153" i="55"/>
  <c r="G44" i="55"/>
  <c r="G101" i="55"/>
  <c r="G153" i="55"/>
  <c r="J212" i="55"/>
  <c r="C56" i="83"/>
  <c r="D56" i="83"/>
  <c r="E56" i="83"/>
  <c r="F56" i="83"/>
  <c r="G56" i="83"/>
  <c r="H56" i="83"/>
  <c r="H45" i="55"/>
  <c r="H102" i="55"/>
  <c r="H154" i="55"/>
  <c r="G45" i="55"/>
  <c r="G102" i="55"/>
  <c r="G154" i="55"/>
  <c r="J213" i="55"/>
  <c r="C57" i="83"/>
  <c r="D57" i="83"/>
  <c r="E57" i="83"/>
  <c r="F57" i="83"/>
  <c r="G57" i="83"/>
  <c r="H57" i="83"/>
  <c r="H46" i="55"/>
  <c r="H103" i="55"/>
  <c r="H155" i="55"/>
  <c r="G46" i="55"/>
  <c r="G103" i="55"/>
  <c r="G155" i="55"/>
  <c r="J214" i="55"/>
  <c r="C58" i="83"/>
  <c r="D58" i="83"/>
  <c r="E58" i="83"/>
  <c r="F58" i="83"/>
  <c r="G58" i="83"/>
  <c r="H58" i="83"/>
  <c r="H47" i="55"/>
  <c r="H104" i="55"/>
  <c r="H156" i="55"/>
  <c r="G47" i="55"/>
  <c r="G104" i="55"/>
  <c r="G156" i="55"/>
  <c r="J215" i="55"/>
  <c r="C59" i="83"/>
  <c r="D59" i="83"/>
  <c r="E59" i="83"/>
  <c r="F59" i="83"/>
  <c r="G59" i="83"/>
  <c r="H59" i="83"/>
  <c r="H48" i="55"/>
  <c r="H105" i="55"/>
  <c r="H157" i="55"/>
  <c r="G48" i="55"/>
  <c r="G105" i="55"/>
  <c r="G157" i="55"/>
  <c r="J216" i="55"/>
  <c r="C60" i="83"/>
  <c r="D60" i="83"/>
  <c r="E60" i="83"/>
  <c r="F60" i="83"/>
  <c r="G60" i="83"/>
  <c r="H60" i="83"/>
  <c r="H49" i="55"/>
  <c r="H106" i="55"/>
  <c r="H158" i="55"/>
  <c r="G49" i="55"/>
  <c r="G106" i="55"/>
  <c r="G158" i="55"/>
  <c r="J217" i="55"/>
  <c r="C61" i="83"/>
  <c r="D61" i="83"/>
  <c r="E61" i="83"/>
  <c r="F61" i="83"/>
  <c r="G61" i="83"/>
  <c r="H61" i="83"/>
  <c r="H50" i="55"/>
  <c r="H107" i="55"/>
  <c r="H159" i="55"/>
  <c r="G50" i="55"/>
  <c r="G107" i="55"/>
  <c r="G159" i="55"/>
  <c r="J218" i="55"/>
  <c r="C62" i="83"/>
  <c r="D62" i="83"/>
  <c r="E62" i="83"/>
  <c r="F62" i="83"/>
  <c r="G62" i="83"/>
  <c r="H62" i="83"/>
  <c r="H51" i="55"/>
  <c r="H108" i="55"/>
  <c r="H160" i="55"/>
  <c r="G51" i="55"/>
  <c r="G108" i="55"/>
  <c r="G160" i="55"/>
  <c r="J219" i="55"/>
  <c r="C63" i="83"/>
  <c r="D63" i="83"/>
  <c r="E63" i="83"/>
  <c r="F63" i="83"/>
  <c r="G63" i="83"/>
  <c r="H63" i="83"/>
  <c r="H52" i="55"/>
  <c r="H109" i="55"/>
  <c r="H161" i="55"/>
  <c r="G52" i="55"/>
  <c r="G109" i="55"/>
  <c r="G161" i="55"/>
  <c r="J220" i="55"/>
  <c r="C67" i="83"/>
  <c r="D67" i="83"/>
  <c r="E67" i="83"/>
  <c r="F67" i="83"/>
  <c r="G67" i="83"/>
  <c r="H67" i="83"/>
  <c r="H56" i="55"/>
  <c r="H113" i="55"/>
  <c r="H165" i="55"/>
  <c r="G56" i="55"/>
  <c r="G113" i="55"/>
  <c r="G165" i="55"/>
  <c r="J224" i="55"/>
  <c r="C68" i="83"/>
  <c r="D68" i="83"/>
  <c r="E68" i="83"/>
  <c r="F68" i="83"/>
  <c r="G68" i="83"/>
  <c r="H68" i="83"/>
  <c r="H57" i="55"/>
  <c r="H114" i="55"/>
  <c r="H166" i="55"/>
  <c r="G57" i="55"/>
  <c r="G114" i="55"/>
  <c r="G166" i="55"/>
  <c r="J225" i="55"/>
  <c r="C69" i="83"/>
  <c r="D69" i="83"/>
  <c r="E69" i="83"/>
  <c r="F69" i="83"/>
  <c r="G69" i="83"/>
  <c r="H69" i="83"/>
  <c r="H58" i="55"/>
  <c r="H115" i="55"/>
  <c r="H167" i="55"/>
  <c r="G58" i="55"/>
  <c r="G115" i="55"/>
  <c r="G167" i="55"/>
  <c r="J226" i="55"/>
  <c r="C70" i="83"/>
  <c r="D70" i="83"/>
  <c r="E70" i="83"/>
  <c r="F70" i="83"/>
  <c r="G70" i="83"/>
  <c r="H70" i="83"/>
  <c r="H59" i="55"/>
  <c r="H116" i="55"/>
  <c r="H168" i="55"/>
  <c r="G59" i="55"/>
  <c r="G116" i="55"/>
  <c r="G168" i="55"/>
  <c r="J227" i="55"/>
  <c r="H89" i="55"/>
  <c r="H141" i="55"/>
  <c r="G32" i="55"/>
  <c r="G89" i="55"/>
  <c r="G141" i="55"/>
  <c r="J199" i="55"/>
  <c r="H162" i="55"/>
  <c r="G162" i="55"/>
  <c r="J221" i="55"/>
  <c r="H163" i="55"/>
  <c r="G163" i="55"/>
  <c r="J222" i="55"/>
  <c r="H164" i="55"/>
  <c r="G164" i="55"/>
  <c r="J223" i="55"/>
  <c r="J229" i="55"/>
  <c r="J233" i="55"/>
  <c r="J234" i="55"/>
  <c r="J235" i="55"/>
  <c r="J236" i="55"/>
  <c r="J237" i="55"/>
  <c r="J238" i="55"/>
  <c r="J239" i="55"/>
  <c r="C240" i="55"/>
  <c r="J240" i="55"/>
  <c r="J241" i="55"/>
  <c r="C242" i="55"/>
  <c r="J242" i="55"/>
  <c r="J243" i="55"/>
  <c r="J244" i="55"/>
  <c r="J245" i="55"/>
  <c r="J246" i="55"/>
  <c r="J247" i="55"/>
  <c r="J248" i="55"/>
  <c r="J249" i="55"/>
  <c r="J250" i="55"/>
  <c r="J251" i="55"/>
  <c r="J252" i="55"/>
  <c r="J253" i="55"/>
  <c r="H10" i="55"/>
  <c r="J282" i="55"/>
  <c r="H61" i="57"/>
  <c r="B283" i="55"/>
  <c r="J283" i="55"/>
  <c r="J284" i="55"/>
  <c r="J285" i="55"/>
  <c r="I233" i="55"/>
  <c r="I234" i="55"/>
  <c r="I235" i="55"/>
  <c r="I236" i="55"/>
  <c r="I237" i="55"/>
  <c r="I238" i="55"/>
  <c r="I239" i="55"/>
  <c r="I240" i="55"/>
  <c r="I241" i="55"/>
  <c r="I242" i="55"/>
  <c r="I243" i="55"/>
  <c r="I244" i="55"/>
  <c r="I245" i="55"/>
  <c r="I246" i="55"/>
  <c r="I247" i="55"/>
  <c r="I248" i="55"/>
  <c r="I249" i="55"/>
  <c r="I250" i="55"/>
  <c r="I251" i="55"/>
  <c r="I252" i="55"/>
  <c r="I253" i="55"/>
  <c r="G33" i="55"/>
  <c r="G10" i="55"/>
  <c r="I282" i="55"/>
  <c r="I283" i="55"/>
  <c r="I284" i="55"/>
  <c r="C257" i="55"/>
  <c r="I257" i="55"/>
  <c r="C258" i="55"/>
  <c r="I258" i="55"/>
  <c r="I259" i="55"/>
  <c r="C260" i="55"/>
  <c r="I260" i="55"/>
  <c r="C261" i="55"/>
  <c r="I261" i="55"/>
  <c r="I262" i="55"/>
  <c r="I263" i="55"/>
  <c r="I264" i="55"/>
  <c r="I265" i="55"/>
  <c r="I266" i="55"/>
  <c r="I267" i="55"/>
  <c r="I268" i="55"/>
  <c r="I269" i="55"/>
  <c r="I270" i="55"/>
  <c r="I271" i="55"/>
  <c r="I272" i="55"/>
  <c r="I273" i="55"/>
  <c r="I274" i="55"/>
  <c r="I275" i="55"/>
  <c r="I276" i="55"/>
  <c r="I277" i="55"/>
  <c r="I278" i="55"/>
  <c r="I254" i="55"/>
  <c r="I255" i="55"/>
  <c r="I279" i="55"/>
  <c r="I280" i="55"/>
  <c r="J15" i="61"/>
  <c r="K6" i="61"/>
  <c r="J289" i="55"/>
  <c r="J257" i="55"/>
  <c r="J258" i="55"/>
  <c r="J259" i="55"/>
  <c r="J260" i="55"/>
  <c r="J261" i="55"/>
  <c r="J262" i="55"/>
  <c r="J263" i="55"/>
  <c r="J264" i="55"/>
  <c r="J265" i="55"/>
  <c r="J266" i="55"/>
  <c r="J267" i="55"/>
  <c r="J268" i="55"/>
  <c r="J269" i="55"/>
  <c r="J270" i="55"/>
  <c r="J271" i="55"/>
  <c r="J272" i="55"/>
  <c r="J273" i="55"/>
  <c r="J274" i="55"/>
  <c r="J275" i="55"/>
  <c r="J276" i="55"/>
  <c r="J277" i="55"/>
  <c r="J278" i="55"/>
  <c r="J254" i="55"/>
  <c r="J255" i="55"/>
  <c r="J279" i="55"/>
  <c r="J280" i="55"/>
  <c r="K15" i="61"/>
  <c r="J290" i="55"/>
  <c r="J292" i="55"/>
  <c r="J294" i="55"/>
  <c r="J301" i="55"/>
  <c r="J302" i="55"/>
  <c r="J305" i="55"/>
  <c r="F11" i="55"/>
  <c r="F63" i="55"/>
  <c r="F68" i="55"/>
  <c r="F120" i="55"/>
  <c r="I178" i="55"/>
  <c r="F12" i="55"/>
  <c r="F69" i="55"/>
  <c r="F121" i="55"/>
  <c r="I179" i="55"/>
  <c r="F13" i="55"/>
  <c r="F70" i="55"/>
  <c r="F122" i="55"/>
  <c r="I180" i="55"/>
  <c r="F14" i="55"/>
  <c r="F71" i="55"/>
  <c r="F123" i="55"/>
  <c r="I181" i="55"/>
  <c r="F15" i="55"/>
  <c r="F72" i="55"/>
  <c r="F124" i="55"/>
  <c r="I182" i="55"/>
  <c r="F16" i="55"/>
  <c r="F73" i="55"/>
  <c r="F125" i="55"/>
  <c r="I183" i="55"/>
  <c r="F17" i="55"/>
  <c r="F74" i="55"/>
  <c r="F126" i="55"/>
  <c r="I184" i="55"/>
  <c r="F18" i="55"/>
  <c r="F75" i="55"/>
  <c r="F127" i="55"/>
  <c r="I185" i="55"/>
  <c r="F19" i="55"/>
  <c r="F76" i="55"/>
  <c r="F128" i="55"/>
  <c r="I186" i="55"/>
  <c r="F20" i="55"/>
  <c r="F77" i="55"/>
  <c r="F129" i="55"/>
  <c r="I187" i="55"/>
  <c r="F21" i="55"/>
  <c r="F78" i="55"/>
  <c r="F130" i="55"/>
  <c r="I188" i="55"/>
  <c r="F22" i="55"/>
  <c r="F79" i="55"/>
  <c r="F131" i="55"/>
  <c r="I189" i="55"/>
  <c r="F23" i="55"/>
  <c r="F80" i="55"/>
  <c r="F132" i="55"/>
  <c r="I190" i="55"/>
  <c r="F24" i="55"/>
  <c r="F81" i="55"/>
  <c r="F133" i="55"/>
  <c r="I191" i="55"/>
  <c r="F25" i="55"/>
  <c r="F82" i="55"/>
  <c r="F134" i="55"/>
  <c r="I192" i="55"/>
  <c r="F26" i="55"/>
  <c r="F83" i="55"/>
  <c r="F135" i="55"/>
  <c r="I193" i="55"/>
  <c r="F27" i="55"/>
  <c r="F84" i="55"/>
  <c r="F136" i="55"/>
  <c r="I194" i="55"/>
  <c r="F28" i="55"/>
  <c r="F85" i="55"/>
  <c r="F137" i="55"/>
  <c r="I195" i="55"/>
  <c r="F29" i="55"/>
  <c r="F86" i="55"/>
  <c r="F138" i="55"/>
  <c r="I196" i="55"/>
  <c r="F30" i="55"/>
  <c r="F87" i="55"/>
  <c r="F139" i="55"/>
  <c r="I197" i="55"/>
  <c r="F31" i="55"/>
  <c r="F88" i="55"/>
  <c r="F140" i="55"/>
  <c r="I198" i="55"/>
  <c r="G65" i="55"/>
  <c r="I200" i="55"/>
  <c r="F35" i="55"/>
  <c r="F92" i="55"/>
  <c r="F144" i="55"/>
  <c r="I203" i="55"/>
  <c r="F36" i="55"/>
  <c r="F93" i="55"/>
  <c r="F145" i="55"/>
  <c r="I204" i="55"/>
  <c r="F37" i="55"/>
  <c r="F94" i="55"/>
  <c r="F146" i="55"/>
  <c r="I205" i="55"/>
  <c r="F38" i="55"/>
  <c r="F95" i="55"/>
  <c r="F147" i="55"/>
  <c r="I206" i="55"/>
  <c r="F39" i="55"/>
  <c r="F96" i="55"/>
  <c r="F148" i="55"/>
  <c r="I207" i="55"/>
  <c r="F40" i="55"/>
  <c r="F97" i="55"/>
  <c r="F149" i="55"/>
  <c r="I208" i="55"/>
  <c r="F41" i="55"/>
  <c r="F98" i="55"/>
  <c r="F150" i="55"/>
  <c r="I209" i="55"/>
  <c r="F42" i="55"/>
  <c r="F99" i="55"/>
  <c r="F151" i="55"/>
  <c r="I210" i="55"/>
  <c r="F43" i="55"/>
  <c r="F100" i="55"/>
  <c r="F152" i="55"/>
  <c r="I211" i="55"/>
  <c r="F44" i="55"/>
  <c r="F101" i="55"/>
  <c r="F153" i="55"/>
  <c r="I212" i="55"/>
  <c r="F45" i="55"/>
  <c r="F102" i="55"/>
  <c r="F154" i="55"/>
  <c r="I213" i="55"/>
  <c r="F46" i="55"/>
  <c r="F103" i="55"/>
  <c r="F155" i="55"/>
  <c r="I214" i="55"/>
  <c r="F47" i="55"/>
  <c r="F104" i="55"/>
  <c r="F156" i="55"/>
  <c r="I215" i="55"/>
  <c r="F48" i="55"/>
  <c r="F105" i="55"/>
  <c r="F157" i="55"/>
  <c r="I216" i="55"/>
  <c r="F49" i="55"/>
  <c r="F106" i="55"/>
  <c r="F158" i="55"/>
  <c r="I217" i="55"/>
  <c r="F50" i="55"/>
  <c r="F107" i="55"/>
  <c r="F159" i="55"/>
  <c r="I218" i="55"/>
  <c r="F51" i="55"/>
  <c r="F108" i="55"/>
  <c r="F160" i="55"/>
  <c r="I219" i="55"/>
  <c r="F52" i="55"/>
  <c r="F109" i="55"/>
  <c r="F161" i="55"/>
  <c r="I220" i="55"/>
  <c r="F56" i="55"/>
  <c r="F113" i="55"/>
  <c r="F165" i="55"/>
  <c r="I224" i="55"/>
  <c r="F57" i="55"/>
  <c r="F114" i="55"/>
  <c r="F166" i="55"/>
  <c r="I225" i="55"/>
  <c r="F58" i="55"/>
  <c r="F115" i="55"/>
  <c r="F167" i="55"/>
  <c r="I226" i="55"/>
  <c r="F59" i="55"/>
  <c r="F116" i="55"/>
  <c r="F168" i="55"/>
  <c r="I227" i="55"/>
  <c r="F32" i="55"/>
  <c r="F89" i="55"/>
  <c r="F141" i="55"/>
  <c r="I199" i="55"/>
  <c r="F162" i="55"/>
  <c r="I221" i="55"/>
  <c r="F163" i="55"/>
  <c r="I222" i="55"/>
  <c r="F164" i="55"/>
  <c r="I223" i="55"/>
  <c r="I229" i="55"/>
  <c r="I285" i="55"/>
  <c r="H233" i="55"/>
  <c r="H234" i="55"/>
  <c r="H235" i="55"/>
  <c r="H236" i="55"/>
  <c r="H237" i="55"/>
  <c r="H238" i="55"/>
  <c r="H239" i="55"/>
  <c r="H240" i="55"/>
  <c r="H241" i="55"/>
  <c r="H242" i="55"/>
  <c r="H243" i="55"/>
  <c r="H244" i="55"/>
  <c r="H245" i="55"/>
  <c r="H246" i="55"/>
  <c r="H247" i="55"/>
  <c r="H248" i="55"/>
  <c r="H249" i="55"/>
  <c r="H250" i="55"/>
  <c r="H251" i="55"/>
  <c r="H252" i="55"/>
  <c r="H253" i="55"/>
  <c r="F33" i="55"/>
  <c r="F10" i="55"/>
  <c r="H282" i="55"/>
  <c r="H283" i="55"/>
  <c r="H284" i="55"/>
  <c r="H257" i="55"/>
  <c r="H258" i="55"/>
  <c r="H259" i="55"/>
  <c r="H260" i="55"/>
  <c r="H261" i="55"/>
  <c r="H262" i="55"/>
  <c r="H263" i="55"/>
  <c r="H264" i="55"/>
  <c r="H265" i="55"/>
  <c r="H266" i="55"/>
  <c r="H267" i="55"/>
  <c r="H268" i="55"/>
  <c r="H269" i="55"/>
  <c r="H270" i="55"/>
  <c r="H271" i="55"/>
  <c r="H272" i="55"/>
  <c r="H273" i="55"/>
  <c r="H274" i="55"/>
  <c r="H275" i="55"/>
  <c r="H276" i="55"/>
  <c r="H277" i="55"/>
  <c r="H278" i="55"/>
  <c r="H254" i="55"/>
  <c r="H255" i="55"/>
  <c r="H279" i="55"/>
  <c r="H280" i="55"/>
  <c r="I15" i="61"/>
  <c r="J6" i="61"/>
  <c r="I289" i="55"/>
  <c r="I290" i="55"/>
  <c r="I292" i="55"/>
  <c r="I294" i="55"/>
  <c r="I301" i="55"/>
  <c r="I302" i="55"/>
  <c r="I305" i="55"/>
  <c r="E11" i="55"/>
  <c r="E63" i="55"/>
  <c r="E68" i="55"/>
  <c r="E120" i="55"/>
  <c r="H178" i="55"/>
  <c r="E12" i="55"/>
  <c r="E69" i="55"/>
  <c r="E121" i="55"/>
  <c r="H179" i="55"/>
  <c r="E13" i="55"/>
  <c r="E70" i="55"/>
  <c r="E122" i="55"/>
  <c r="H180" i="55"/>
  <c r="E14" i="55"/>
  <c r="E71" i="55"/>
  <c r="E123" i="55"/>
  <c r="H181" i="55"/>
  <c r="E15" i="55"/>
  <c r="E72" i="55"/>
  <c r="E124" i="55"/>
  <c r="H182" i="55"/>
  <c r="E16" i="55"/>
  <c r="E73" i="55"/>
  <c r="E125" i="55"/>
  <c r="H183" i="55"/>
  <c r="E17" i="55"/>
  <c r="E74" i="55"/>
  <c r="E126" i="55"/>
  <c r="H184" i="55"/>
  <c r="E18" i="55"/>
  <c r="E75" i="55"/>
  <c r="E127" i="55"/>
  <c r="H185" i="55"/>
  <c r="E19" i="55"/>
  <c r="E76" i="55"/>
  <c r="E128" i="55"/>
  <c r="H186" i="55"/>
  <c r="E20" i="55"/>
  <c r="E77" i="55"/>
  <c r="E129" i="55"/>
  <c r="H187" i="55"/>
  <c r="E21" i="55"/>
  <c r="E78" i="55"/>
  <c r="E130" i="55"/>
  <c r="H188" i="55"/>
  <c r="E22" i="55"/>
  <c r="E79" i="55"/>
  <c r="E131" i="55"/>
  <c r="H189" i="55"/>
  <c r="E23" i="55"/>
  <c r="E80" i="55"/>
  <c r="E132" i="55"/>
  <c r="H190" i="55"/>
  <c r="E24" i="55"/>
  <c r="E81" i="55"/>
  <c r="E133" i="55"/>
  <c r="H191" i="55"/>
  <c r="E25" i="55"/>
  <c r="E82" i="55"/>
  <c r="E134" i="55"/>
  <c r="H192" i="55"/>
  <c r="E26" i="55"/>
  <c r="E83" i="55"/>
  <c r="E135" i="55"/>
  <c r="H193" i="55"/>
  <c r="E27" i="55"/>
  <c r="E84" i="55"/>
  <c r="E136" i="55"/>
  <c r="H194" i="55"/>
  <c r="E28" i="55"/>
  <c r="E85" i="55"/>
  <c r="E137" i="55"/>
  <c r="H195" i="55"/>
  <c r="E29" i="55"/>
  <c r="E86" i="55"/>
  <c r="E138" i="55"/>
  <c r="H196" i="55"/>
  <c r="E30" i="55"/>
  <c r="E87" i="55"/>
  <c r="E139" i="55"/>
  <c r="H197" i="55"/>
  <c r="E31" i="55"/>
  <c r="E88" i="55"/>
  <c r="E140" i="55"/>
  <c r="H198" i="55"/>
  <c r="F65" i="55"/>
  <c r="H200" i="55"/>
  <c r="E35" i="55"/>
  <c r="E92" i="55"/>
  <c r="E144" i="55"/>
  <c r="H203" i="55"/>
  <c r="E36" i="55"/>
  <c r="E93" i="55"/>
  <c r="E145" i="55"/>
  <c r="H204" i="55"/>
  <c r="E37" i="55"/>
  <c r="E94" i="55"/>
  <c r="E146" i="55"/>
  <c r="H205" i="55"/>
  <c r="E38" i="55"/>
  <c r="E95" i="55"/>
  <c r="E147" i="55"/>
  <c r="H206" i="55"/>
  <c r="E39" i="55"/>
  <c r="E96" i="55"/>
  <c r="E148" i="55"/>
  <c r="H207" i="55"/>
  <c r="E40" i="55"/>
  <c r="E97" i="55"/>
  <c r="E149" i="55"/>
  <c r="H208" i="55"/>
  <c r="E41" i="55"/>
  <c r="E98" i="55"/>
  <c r="E150" i="55"/>
  <c r="H209" i="55"/>
  <c r="E42" i="55"/>
  <c r="E99" i="55"/>
  <c r="E151" i="55"/>
  <c r="H210" i="55"/>
  <c r="E43" i="55"/>
  <c r="E100" i="55"/>
  <c r="E152" i="55"/>
  <c r="H211" i="55"/>
  <c r="E44" i="55"/>
  <c r="E101" i="55"/>
  <c r="E153" i="55"/>
  <c r="H212" i="55"/>
  <c r="E45" i="55"/>
  <c r="E102" i="55"/>
  <c r="E154" i="55"/>
  <c r="H213" i="55"/>
  <c r="E46" i="55"/>
  <c r="E103" i="55"/>
  <c r="E155" i="55"/>
  <c r="H214" i="55"/>
  <c r="E47" i="55"/>
  <c r="E104" i="55"/>
  <c r="E156" i="55"/>
  <c r="H215" i="55"/>
  <c r="E48" i="55"/>
  <c r="E105" i="55"/>
  <c r="E157" i="55"/>
  <c r="H216" i="55"/>
  <c r="E49" i="55"/>
  <c r="E106" i="55"/>
  <c r="E158" i="55"/>
  <c r="H217" i="55"/>
  <c r="E50" i="55"/>
  <c r="E107" i="55"/>
  <c r="E159" i="55"/>
  <c r="H218" i="55"/>
  <c r="E51" i="55"/>
  <c r="E108" i="55"/>
  <c r="E160" i="55"/>
  <c r="H219" i="55"/>
  <c r="E52" i="55"/>
  <c r="E109" i="55"/>
  <c r="E161" i="55"/>
  <c r="H220" i="55"/>
  <c r="E56" i="55"/>
  <c r="E113" i="55"/>
  <c r="E165" i="55"/>
  <c r="H224" i="55"/>
  <c r="E57" i="55"/>
  <c r="E114" i="55"/>
  <c r="E166" i="55"/>
  <c r="H225" i="55"/>
  <c r="E58" i="55"/>
  <c r="E115" i="55"/>
  <c r="E167" i="55"/>
  <c r="H226" i="55"/>
  <c r="E59" i="55"/>
  <c r="E116" i="55"/>
  <c r="E168" i="55"/>
  <c r="H227" i="55"/>
  <c r="E32" i="55"/>
  <c r="E89" i="55"/>
  <c r="E141" i="55"/>
  <c r="H199" i="55"/>
  <c r="E162" i="55"/>
  <c r="H221" i="55"/>
  <c r="E163" i="55"/>
  <c r="H222" i="55"/>
  <c r="E164" i="55"/>
  <c r="H223" i="55"/>
  <c r="H229" i="55"/>
  <c r="H285" i="55"/>
  <c r="G233" i="55"/>
  <c r="G234" i="55"/>
  <c r="G235" i="55"/>
  <c r="G236" i="55"/>
  <c r="G237" i="55"/>
  <c r="G238" i="55"/>
  <c r="G239" i="55"/>
  <c r="G240" i="55"/>
  <c r="G241" i="55"/>
  <c r="G242" i="55"/>
  <c r="G243" i="55"/>
  <c r="G244" i="55"/>
  <c r="G245" i="55"/>
  <c r="G246" i="55"/>
  <c r="G247" i="55"/>
  <c r="G248" i="55"/>
  <c r="G249" i="55"/>
  <c r="G250" i="55"/>
  <c r="G251" i="55"/>
  <c r="G252" i="55"/>
  <c r="G253" i="55"/>
  <c r="E33" i="55"/>
  <c r="E10" i="55"/>
  <c r="G282" i="55"/>
  <c r="G283" i="55"/>
  <c r="G284" i="55"/>
  <c r="G257" i="55"/>
  <c r="G258" i="55"/>
  <c r="G259" i="55"/>
  <c r="G260" i="55"/>
  <c r="G261" i="55"/>
  <c r="G262" i="55"/>
  <c r="G263" i="55"/>
  <c r="G264" i="55"/>
  <c r="G265" i="55"/>
  <c r="G266" i="55"/>
  <c r="G267" i="55"/>
  <c r="G268" i="55"/>
  <c r="G269" i="55"/>
  <c r="G270" i="55"/>
  <c r="G271" i="55"/>
  <c r="G272" i="55"/>
  <c r="G273" i="55"/>
  <c r="G274" i="55"/>
  <c r="G275" i="55"/>
  <c r="G276" i="55"/>
  <c r="G277" i="55"/>
  <c r="G278" i="55"/>
  <c r="G254" i="55"/>
  <c r="G255" i="55"/>
  <c r="G279" i="55"/>
  <c r="G280" i="55"/>
  <c r="H15" i="61"/>
  <c r="I6" i="61"/>
  <c r="H289" i="55"/>
  <c r="H290" i="55"/>
  <c r="H292" i="55"/>
  <c r="H294" i="55"/>
  <c r="H301" i="55"/>
  <c r="H302" i="55"/>
  <c r="H305" i="55"/>
  <c r="D11" i="55"/>
  <c r="D63" i="55"/>
  <c r="D68" i="55"/>
  <c r="D120" i="55"/>
  <c r="G178" i="55"/>
  <c r="D12" i="55"/>
  <c r="D69" i="55"/>
  <c r="D121" i="55"/>
  <c r="G179" i="55"/>
  <c r="D13" i="55"/>
  <c r="D70" i="55"/>
  <c r="D122" i="55"/>
  <c r="G180" i="55"/>
  <c r="D14" i="55"/>
  <c r="D71" i="55"/>
  <c r="D123" i="55"/>
  <c r="G181" i="55"/>
  <c r="D15" i="55"/>
  <c r="D72" i="55"/>
  <c r="D124" i="55"/>
  <c r="G182" i="55"/>
  <c r="D16" i="55"/>
  <c r="D73" i="55"/>
  <c r="D125" i="55"/>
  <c r="G183" i="55"/>
  <c r="D17" i="55"/>
  <c r="D74" i="55"/>
  <c r="D126" i="55"/>
  <c r="G184" i="55"/>
  <c r="D18" i="55"/>
  <c r="D75" i="55"/>
  <c r="D127" i="55"/>
  <c r="G185" i="55"/>
  <c r="D19" i="55"/>
  <c r="D76" i="55"/>
  <c r="D128" i="55"/>
  <c r="G186" i="55"/>
  <c r="D20" i="55"/>
  <c r="D77" i="55"/>
  <c r="D129" i="55"/>
  <c r="G187" i="55"/>
  <c r="D21" i="55"/>
  <c r="D78" i="55"/>
  <c r="D130" i="55"/>
  <c r="G188" i="55"/>
  <c r="D22" i="55"/>
  <c r="D79" i="55"/>
  <c r="D131" i="55"/>
  <c r="G189" i="55"/>
  <c r="D23" i="55"/>
  <c r="D80" i="55"/>
  <c r="D132" i="55"/>
  <c r="G190" i="55"/>
  <c r="D24" i="55"/>
  <c r="D81" i="55"/>
  <c r="D133" i="55"/>
  <c r="G191" i="55"/>
  <c r="D25" i="55"/>
  <c r="D82" i="55"/>
  <c r="D134" i="55"/>
  <c r="G192" i="55"/>
  <c r="D26" i="55"/>
  <c r="D83" i="55"/>
  <c r="D135" i="55"/>
  <c r="G193" i="55"/>
  <c r="D27" i="55"/>
  <c r="D84" i="55"/>
  <c r="D136" i="55"/>
  <c r="G194" i="55"/>
  <c r="D28" i="55"/>
  <c r="D85" i="55"/>
  <c r="D137" i="55"/>
  <c r="G195" i="55"/>
  <c r="D29" i="55"/>
  <c r="D86" i="55"/>
  <c r="D138" i="55"/>
  <c r="G196" i="55"/>
  <c r="D30" i="55"/>
  <c r="D87" i="55"/>
  <c r="D139" i="55"/>
  <c r="G197" i="55"/>
  <c r="D31" i="55"/>
  <c r="D88" i="55"/>
  <c r="D140" i="55"/>
  <c r="G198" i="55"/>
  <c r="E65" i="55"/>
  <c r="G200" i="55"/>
  <c r="D35" i="55"/>
  <c r="D92" i="55"/>
  <c r="D144" i="55"/>
  <c r="G203" i="55"/>
  <c r="D36" i="55"/>
  <c r="D93" i="55"/>
  <c r="D145" i="55"/>
  <c r="G204" i="55"/>
  <c r="D37" i="55"/>
  <c r="D94" i="55"/>
  <c r="D146" i="55"/>
  <c r="G205" i="55"/>
  <c r="D38" i="55"/>
  <c r="D95" i="55"/>
  <c r="D147" i="55"/>
  <c r="G206" i="55"/>
  <c r="D39" i="55"/>
  <c r="D96" i="55"/>
  <c r="D148" i="55"/>
  <c r="G207" i="55"/>
  <c r="D40" i="55"/>
  <c r="D97" i="55"/>
  <c r="D149" i="55"/>
  <c r="G208" i="55"/>
  <c r="D41" i="55"/>
  <c r="D98" i="55"/>
  <c r="D150" i="55"/>
  <c r="G209" i="55"/>
  <c r="D42" i="55"/>
  <c r="D99" i="55"/>
  <c r="D151" i="55"/>
  <c r="G210" i="55"/>
  <c r="D43" i="55"/>
  <c r="D100" i="55"/>
  <c r="D152" i="55"/>
  <c r="G211" i="55"/>
  <c r="D44" i="55"/>
  <c r="D101" i="55"/>
  <c r="D153" i="55"/>
  <c r="G212" i="55"/>
  <c r="D45" i="55"/>
  <c r="D102" i="55"/>
  <c r="D154" i="55"/>
  <c r="G213" i="55"/>
  <c r="D46" i="55"/>
  <c r="D103" i="55"/>
  <c r="D155" i="55"/>
  <c r="G214" i="55"/>
  <c r="D47" i="55"/>
  <c r="D104" i="55"/>
  <c r="D156" i="55"/>
  <c r="G215" i="55"/>
  <c r="D48" i="55"/>
  <c r="D105" i="55"/>
  <c r="D157" i="55"/>
  <c r="G216" i="55"/>
  <c r="D49" i="55"/>
  <c r="D106" i="55"/>
  <c r="D158" i="55"/>
  <c r="G217" i="55"/>
  <c r="D50" i="55"/>
  <c r="D107" i="55"/>
  <c r="D159" i="55"/>
  <c r="G218" i="55"/>
  <c r="D51" i="55"/>
  <c r="D108" i="55"/>
  <c r="D160" i="55"/>
  <c r="G219" i="55"/>
  <c r="D52" i="55"/>
  <c r="D109" i="55"/>
  <c r="D161" i="55"/>
  <c r="G220" i="55"/>
  <c r="D56" i="55"/>
  <c r="D113" i="55"/>
  <c r="D165" i="55"/>
  <c r="G224" i="55"/>
  <c r="D57" i="55"/>
  <c r="D114" i="55"/>
  <c r="D166" i="55"/>
  <c r="G225" i="55"/>
  <c r="D58" i="55"/>
  <c r="D115" i="55"/>
  <c r="D167" i="55"/>
  <c r="G226" i="55"/>
  <c r="D59" i="55"/>
  <c r="D116" i="55"/>
  <c r="D168" i="55"/>
  <c r="G227" i="55"/>
  <c r="D32" i="55"/>
  <c r="D89" i="55"/>
  <c r="D141" i="55"/>
  <c r="G199" i="55"/>
  <c r="D162" i="55"/>
  <c r="G221" i="55"/>
  <c r="D163" i="55"/>
  <c r="G222" i="55"/>
  <c r="D164" i="55"/>
  <c r="G223" i="55"/>
  <c r="G229" i="55"/>
  <c r="G285" i="55"/>
  <c r="F233" i="55"/>
  <c r="F234" i="55"/>
  <c r="F235" i="55"/>
  <c r="F236" i="55"/>
  <c r="F237" i="55"/>
  <c r="F238" i="55"/>
  <c r="F239" i="55"/>
  <c r="F240" i="55"/>
  <c r="F241" i="55"/>
  <c r="F242" i="55"/>
  <c r="F243" i="55"/>
  <c r="F244" i="55"/>
  <c r="F245" i="55"/>
  <c r="F246" i="55"/>
  <c r="F247" i="55"/>
  <c r="F248" i="55"/>
  <c r="F249" i="55"/>
  <c r="F250" i="55"/>
  <c r="F251" i="55"/>
  <c r="F252" i="55"/>
  <c r="F253" i="55"/>
  <c r="D33" i="55"/>
  <c r="D10" i="55"/>
  <c r="F282" i="55"/>
  <c r="F283" i="55"/>
  <c r="F284" i="55"/>
  <c r="F257" i="55"/>
  <c r="F258" i="55"/>
  <c r="F259" i="55"/>
  <c r="F260" i="55"/>
  <c r="F261" i="55"/>
  <c r="F262" i="55"/>
  <c r="F263" i="55"/>
  <c r="F264" i="55"/>
  <c r="F265" i="55"/>
  <c r="F266" i="55"/>
  <c r="F267" i="55"/>
  <c r="F268" i="55"/>
  <c r="F269" i="55"/>
  <c r="F270" i="55"/>
  <c r="F271" i="55"/>
  <c r="F272" i="55"/>
  <c r="F273" i="55"/>
  <c r="F274" i="55"/>
  <c r="F275" i="55"/>
  <c r="F276" i="55"/>
  <c r="F277" i="55"/>
  <c r="F278" i="55"/>
  <c r="F254" i="55"/>
  <c r="F255" i="55"/>
  <c r="F279" i="55"/>
  <c r="F280" i="55"/>
  <c r="G15" i="61"/>
  <c r="H6" i="61"/>
  <c r="G289" i="55"/>
  <c r="G290" i="55"/>
  <c r="G292" i="55"/>
  <c r="G294" i="55"/>
  <c r="G301" i="55"/>
  <c r="G302" i="55"/>
  <c r="G305" i="55"/>
  <c r="C11" i="55"/>
  <c r="C68" i="55"/>
  <c r="C120" i="55"/>
  <c r="F178" i="55"/>
  <c r="C12" i="55"/>
  <c r="C69" i="55"/>
  <c r="C121" i="55"/>
  <c r="F179" i="55"/>
  <c r="C13" i="55"/>
  <c r="C70" i="55"/>
  <c r="C122" i="55"/>
  <c r="F180" i="55"/>
  <c r="C14" i="55"/>
  <c r="C71" i="55"/>
  <c r="C123" i="55"/>
  <c r="F181" i="55"/>
  <c r="C15" i="55"/>
  <c r="C72" i="55"/>
  <c r="C124" i="55"/>
  <c r="F182" i="55"/>
  <c r="C16" i="55"/>
  <c r="C73" i="55"/>
  <c r="C125" i="55"/>
  <c r="F183" i="55"/>
  <c r="C17" i="55"/>
  <c r="C74" i="55"/>
  <c r="C126" i="55"/>
  <c r="F184" i="55"/>
  <c r="C18" i="55"/>
  <c r="C75" i="55"/>
  <c r="C127" i="55"/>
  <c r="F185" i="55"/>
  <c r="C19" i="55"/>
  <c r="C76" i="55"/>
  <c r="C128" i="55"/>
  <c r="F186" i="55"/>
  <c r="C20" i="55"/>
  <c r="C77" i="55"/>
  <c r="C129" i="55"/>
  <c r="F187" i="55"/>
  <c r="C21" i="55"/>
  <c r="C78" i="55"/>
  <c r="C130" i="55"/>
  <c r="F188" i="55"/>
  <c r="C22" i="55"/>
  <c r="C79" i="55"/>
  <c r="C131" i="55"/>
  <c r="F189" i="55"/>
  <c r="C23" i="55"/>
  <c r="C80" i="55"/>
  <c r="C132" i="55"/>
  <c r="F190" i="55"/>
  <c r="C24" i="55"/>
  <c r="C81" i="55"/>
  <c r="C133" i="55"/>
  <c r="F191" i="55"/>
  <c r="C25" i="55"/>
  <c r="C82" i="55"/>
  <c r="C134" i="55"/>
  <c r="F192" i="55"/>
  <c r="C26" i="55"/>
  <c r="C83" i="55"/>
  <c r="C135" i="55"/>
  <c r="F193" i="55"/>
  <c r="C27" i="55"/>
  <c r="C84" i="55"/>
  <c r="C136" i="55"/>
  <c r="F194" i="55"/>
  <c r="C28" i="55"/>
  <c r="C85" i="55"/>
  <c r="C137" i="55"/>
  <c r="F195" i="55"/>
  <c r="C29" i="55"/>
  <c r="C86" i="55"/>
  <c r="C138" i="55"/>
  <c r="F196" i="55"/>
  <c r="C30" i="55"/>
  <c r="C87" i="55"/>
  <c r="C139" i="55"/>
  <c r="F197" i="55"/>
  <c r="C31" i="55"/>
  <c r="C88" i="55"/>
  <c r="C140" i="55"/>
  <c r="F198" i="55"/>
  <c r="D65" i="55"/>
  <c r="F200" i="55"/>
  <c r="C35" i="55"/>
  <c r="C92" i="55"/>
  <c r="C144" i="55"/>
  <c r="F203" i="55"/>
  <c r="C36" i="55"/>
  <c r="C93" i="55"/>
  <c r="C145" i="55"/>
  <c r="F204" i="55"/>
  <c r="C37" i="55"/>
  <c r="C94" i="55"/>
  <c r="C146" i="55"/>
  <c r="F205" i="55"/>
  <c r="C38" i="55"/>
  <c r="C95" i="55"/>
  <c r="C147" i="55"/>
  <c r="F206" i="55"/>
  <c r="C39" i="55"/>
  <c r="C96" i="55"/>
  <c r="C148" i="55"/>
  <c r="F207" i="55"/>
  <c r="C40" i="55"/>
  <c r="C97" i="55"/>
  <c r="C149" i="55"/>
  <c r="F208" i="55"/>
  <c r="C41" i="55"/>
  <c r="C98" i="55"/>
  <c r="C150" i="55"/>
  <c r="F209" i="55"/>
  <c r="C42" i="55"/>
  <c r="C99" i="55"/>
  <c r="C151" i="55"/>
  <c r="F210" i="55"/>
  <c r="C43" i="55"/>
  <c r="C100" i="55"/>
  <c r="C152" i="55"/>
  <c r="F211" i="55"/>
  <c r="C44" i="55"/>
  <c r="C101" i="55"/>
  <c r="C153" i="55"/>
  <c r="F212" i="55"/>
  <c r="C45" i="55"/>
  <c r="C102" i="55"/>
  <c r="C154" i="55"/>
  <c r="F213" i="55"/>
  <c r="C46" i="55"/>
  <c r="C103" i="55"/>
  <c r="C155" i="55"/>
  <c r="F214" i="55"/>
  <c r="C47" i="55"/>
  <c r="C104" i="55"/>
  <c r="C156" i="55"/>
  <c r="F215" i="55"/>
  <c r="C48" i="55"/>
  <c r="C105" i="55"/>
  <c r="C157" i="55"/>
  <c r="F216" i="55"/>
  <c r="C49" i="55"/>
  <c r="C106" i="55"/>
  <c r="C158" i="55"/>
  <c r="F217" i="55"/>
  <c r="C50" i="55"/>
  <c r="C107" i="55"/>
  <c r="C159" i="55"/>
  <c r="F218" i="55"/>
  <c r="C51" i="55"/>
  <c r="C108" i="55"/>
  <c r="C160" i="55"/>
  <c r="F219" i="55"/>
  <c r="C52" i="55"/>
  <c r="C109" i="55"/>
  <c r="C161" i="55"/>
  <c r="F220" i="55"/>
  <c r="C56" i="55"/>
  <c r="C113" i="55"/>
  <c r="C165" i="55"/>
  <c r="F224" i="55"/>
  <c r="C57" i="55"/>
  <c r="C114" i="55"/>
  <c r="C166" i="55"/>
  <c r="F225" i="55"/>
  <c r="C58" i="55"/>
  <c r="C115" i="55"/>
  <c r="C167" i="55"/>
  <c r="F226" i="55"/>
  <c r="C59" i="55"/>
  <c r="C116" i="55"/>
  <c r="C168" i="55"/>
  <c r="F227" i="55"/>
  <c r="C32" i="55"/>
  <c r="C89" i="55"/>
  <c r="C141" i="55"/>
  <c r="F199" i="55"/>
  <c r="C162" i="55"/>
  <c r="F221" i="55"/>
  <c r="C163" i="55"/>
  <c r="F222" i="55"/>
  <c r="C164" i="55"/>
  <c r="F223" i="55"/>
  <c r="F229" i="55"/>
  <c r="F285" i="55"/>
  <c r="E233" i="55"/>
  <c r="E234" i="55"/>
  <c r="E235" i="55"/>
  <c r="E236" i="55"/>
  <c r="E237" i="55"/>
  <c r="E238" i="55"/>
  <c r="E239" i="55"/>
  <c r="E240" i="55"/>
  <c r="E241" i="55"/>
  <c r="E242" i="55"/>
  <c r="E243" i="55"/>
  <c r="E244" i="55"/>
  <c r="E245" i="55"/>
  <c r="E246" i="55"/>
  <c r="E247" i="55"/>
  <c r="E248" i="55"/>
  <c r="E249" i="55"/>
  <c r="E250" i="55"/>
  <c r="E251" i="55"/>
  <c r="E252" i="55"/>
  <c r="E253" i="55"/>
  <c r="C33" i="55"/>
  <c r="C10" i="55"/>
  <c r="E282" i="55"/>
  <c r="E283" i="55"/>
  <c r="E284" i="55"/>
  <c r="E257" i="55"/>
  <c r="E258" i="55"/>
  <c r="E259" i="55"/>
  <c r="E260" i="55"/>
  <c r="E261" i="55"/>
  <c r="E262" i="55"/>
  <c r="E263" i="55"/>
  <c r="E264" i="55"/>
  <c r="E265" i="55"/>
  <c r="E266" i="55"/>
  <c r="E267" i="55"/>
  <c r="E268" i="55"/>
  <c r="E269" i="55"/>
  <c r="E270" i="55"/>
  <c r="E271" i="55"/>
  <c r="E272" i="55"/>
  <c r="E273" i="55"/>
  <c r="E274" i="55"/>
  <c r="E275" i="55"/>
  <c r="E276" i="55"/>
  <c r="E277" i="55"/>
  <c r="E278" i="55"/>
  <c r="E254" i="55"/>
  <c r="E255" i="55"/>
  <c r="E279" i="55"/>
  <c r="E280" i="55"/>
  <c r="F15" i="61"/>
  <c r="G6" i="61"/>
  <c r="F289" i="55"/>
  <c r="F290" i="55"/>
  <c r="F292" i="55"/>
  <c r="F294" i="55"/>
  <c r="F301" i="55"/>
  <c r="F302" i="55"/>
  <c r="F305" i="55"/>
  <c r="E178" i="55"/>
  <c r="E179" i="55"/>
  <c r="E180" i="55"/>
  <c r="E181" i="55"/>
  <c r="E182" i="55"/>
  <c r="E183" i="55"/>
  <c r="E184" i="55"/>
  <c r="E185" i="55"/>
  <c r="E186" i="55"/>
  <c r="E187" i="55"/>
  <c r="E188" i="55"/>
  <c r="E189" i="55"/>
  <c r="E190" i="55"/>
  <c r="E191" i="55"/>
  <c r="E192" i="55"/>
  <c r="E193" i="55"/>
  <c r="E194" i="55"/>
  <c r="E195" i="55"/>
  <c r="E196" i="55"/>
  <c r="E197" i="55"/>
  <c r="E198" i="55"/>
  <c r="C65" i="55"/>
  <c r="E200" i="55"/>
  <c r="E203" i="55"/>
  <c r="E204" i="55"/>
  <c r="E205" i="55"/>
  <c r="E206" i="55"/>
  <c r="E207" i="55"/>
  <c r="E208" i="55"/>
  <c r="E209" i="55"/>
  <c r="E210" i="55"/>
  <c r="E211" i="55"/>
  <c r="E212" i="55"/>
  <c r="E213" i="55"/>
  <c r="E214" i="55"/>
  <c r="E215" i="55"/>
  <c r="E216" i="55"/>
  <c r="E217" i="55"/>
  <c r="E218" i="55"/>
  <c r="E219" i="55"/>
  <c r="E220" i="55"/>
  <c r="E224" i="55"/>
  <c r="E225" i="55"/>
  <c r="E226" i="55"/>
  <c r="E227" i="55"/>
  <c r="E199" i="55"/>
  <c r="E221" i="55"/>
  <c r="E222" i="55"/>
  <c r="E223" i="55"/>
  <c r="E229" i="55"/>
  <c r="E285" i="55"/>
  <c r="D233" i="55"/>
  <c r="D234" i="55"/>
  <c r="D235" i="55"/>
  <c r="D236" i="55"/>
  <c r="D237" i="55"/>
  <c r="D238" i="55"/>
  <c r="D239" i="55"/>
  <c r="D240" i="55"/>
  <c r="D241" i="55"/>
  <c r="D242" i="55"/>
  <c r="D243" i="55"/>
  <c r="D244" i="55"/>
  <c r="D245" i="55"/>
  <c r="D246" i="55"/>
  <c r="D247" i="55"/>
  <c r="D248" i="55"/>
  <c r="D249" i="55"/>
  <c r="D250" i="55"/>
  <c r="D251" i="55"/>
  <c r="D252" i="55"/>
  <c r="D253" i="55"/>
  <c r="B10" i="55"/>
  <c r="D282" i="55"/>
  <c r="D283" i="55"/>
  <c r="D284" i="55"/>
  <c r="D257" i="55"/>
  <c r="D258" i="55"/>
  <c r="D259" i="55"/>
  <c r="D260" i="55"/>
  <c r="D261" i="55"/>
  <c r="D262" i="55"/>
  <c r="D263" i="55"/>
  <c r="D264" i="55"/>
  <c r="D265" i="55"/>
  <c r="D266" i="55"/>
  <c r="D267" i="55"/>
  <c r="D268" i="55"/>
  <c r="D269" i="55"/>
  <c r="D270" i="55"/>
  <c r="D271" i="55"/>
  <c r="D272" i="55"/>
  <c r="D273" i="55"/>
  <c r="D274" i="55"/>
  <c r="D275" i="55"/>
  <c r="D276" i="55"/>
  <c r="D277" i="55"/>
  <c r="D278" i="55"/>
  <c r="D254" i="55"/>
  <c r="D255" i="55"/>
  <c r="D279" i="55"/>
  <c r="D280" i="55"/>
  <c r="E15" i="61"/>
  <c r="F6" i="61"/>
  <c r="E289" i="55"/>
  <c r="E290" i="55"/>
  <c r="E292" i="55"/>
  <c r="E294" i="55"/>
  <c r="E301" i="55"/>
  <c r="E302" i="55"/>
  <c r="E305" i="55"/>
  <c r="D285" i="55"/>
  <c r="D290" i="55"/>
  <c r="D292" i="55"/>
  <c r="D294" i="55"/>
  <c r="D301" i="55"/>
  <c r="D302" i="55"/>
  <c r="D305" i="55"/>
  <c r="A280" i="55"/>
  <c r="A279" i="55"/>
  <c r="A59" i="55"/>
  <c r="A116" i="55"/>
  <c r="A168" i="55"/>
  <c r="A227" i="55"/>
  <c r="A278" i="55"/>
  <c r="A58" i="55"/>
  <c r="A115" i="55"/>
  <c r="A167" i="55"/>
  <c r="A226" i="55"/>
  <c r="A277" i="55"/>
  <c r="A57" i="55"/>
  <c r="A114" i="55"/>
  <c r="A166" i="55"/>
  <c r="A225" i="55"/>
  <c r="A276" i="55"/>
  <c r="A56" i="55"/>
  <c r="A113" i="55"/>
  <c r="A165" i="55"/>
  <c r="A224" i="55"/>
  <c r="A275" i="55"/>
  <c r="A52" i="55"/>
  <c r="A109" i="55"/>
  <c r="A161" i="55"/>
  <c r="A220" i="55"/>
  <c r="A274" i="55"/>
  <c r="A51" i="55"/>
  <c r="A108" i="55"/>
  <c r="A160" i="55"/>
  <c r="A219" i="55"/>
  <c r="A273" i="55"/>
  <c r="A50" i="55"/>
  <c r="A107" i="55"/>
  <c r="A159" i="55"/>
  <c r="A218" i="55"/>
  <c r="A272" i="55"/>
  <c r="A49" i="55"/>
  <c r="A106" i="55"/>
  <c r="A158" i="55"/>
  <c r="A217" i="55"/>
  <c r="A271" i="55"/>
  <c r="A48" i="55"/>
  <c r="A105" i="55"/>
  <c r="A157" i="55"/>
  <c r="A216" i="55"/>
  <c r="A270" i="55"/>
  <c r="A47" i="55"/>
  <c r="A104" i="55"/>
  <c r="A156" i="55"/>
  <c r="A215" i="55"/>
  <c r="A269" i="55"/>
  <c r="A46" i="55"/>
  <c r="A103" i="55"/>
  <c r="A155" i="55"/>
  <c r="A214" i="55"/>
  <c r="A268" i="55"/>
  <c r="A45" i="55"/>
  <c r="A102" i="55"/>
  <c r="A154" i="55"/>
  <c r="A213" i="55"/>
  <c r="A267" i="55"/>
  <c r="A44" i="55"/>
  <c r="A101" i="55"/>
  <c r="A153" i="55"/>
  <c r="A212" i="55"/>
  <c r="A266" i="55"/>
  <c r="A43" i="55"/>
  <c r="A100" i="55"/>
  <c r="A152" i="55"/>
  <c r="A211" i="55"/>
  <c r="A265" i="55"/>
  <c r="A42" i="55"/>
  <c r="A99" i="55"/>
  <c r="A151" i="55"/>
  <c r="A210" i="55"/>
  <c r="A264" i="55"/>
  <c r="A41" i="55"/>
  <c r="A98" i="55"/>
  <c r="A150" i="55"/>
  <c r="A209" i="55"/>
  <c r="A263" i="55"/>
  <c r="A40" i="55"/>
  <c r="A97" i="55"/>
  <c r="A149" i="55"/>
  <c r="A208" i="55"/>
  <c r="A262" i="55"/>
  <c r="A39" i="55"/>
  <c r="A96" i="55"/>
  <c r="A148" i="55"/>
  <c r="A207" i="55"/>
  <c r="A261" i="55"/>
  <c r="A38" i="55"/>
  <c r="A95" i="55"/>
  <c r="A147" i="55"/>
  <c r="A206" i="55"/>
  <c r="A260" i="55"/>
  <c r="A37" i="55"/>
  <c r="A94" i="55"/>
  <c r="A146" i="55"/>
  <c r="A205" i="55"/>
  <c r="A259" i="55"/>
  <c r="A36" i="55"/>
  <c r="A93" i="55"/>
  <c r="A145" i="55"/>
  <c r="A204" i="55"/>
  <c r="A258" i="55"/>
  <c r="A35" i="55"/>
  <c r="A92" i="55"/>
  <c r="A144" i="55"/>
  <c r="A203" i="55"/>
  <c r="A257" i="55"/>
  <c r="A34" i="55"/>
  <c r="A91" i="55"/>
  <c r="A143" i="55"/>
  <c r="A202" i="55"/>
  <c r="A256" i="55"/>
  <c r="A255" i="55"/>
  <c r="A254" i="55"/>
  <c r="A31" i="55"/>
  <c r="A88" i="55"/>
  <c r="A140" i="55"/>
  <c r="A198" i="55"/>
  <c r="A253" i="55"/>
  <c r="A30" i="55"/>
  <c r="A87" i="55"/>
  <c r="A139" i="55"/>
  <c r="A197" i="55"/>
  <c r="A252" i="55"/>
  <c r="A29" i="55"/>
  <c r="A86" i="55"/>
  <c r="A138" i="55"/>
  <c r="A196" i="55"/>
  <c r="A251" i="55"/>
  <c r="A28" i="55"/>
  <c r="A85" i="55"/>
  <c r="A137" i="55"/>
  <c r="A195" i="55"/>
  <c r="A250" i="55"/>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236" i="55"/>
  <c r="A235" i="55"/>
  <c r="A234" i="55"/>
  <c r="A233" i="55"/>
  <c r="A55" i="55"/>
  <c r="A112" i="55"/>
  <c r="A164" i="55"/>
  <c r="A223" i="55"/>
  <c r="A54" i="55"/>
  <c r="A111" i="55"/>
  <c r="A163" i="55"/>
  <c r="A222" i="55"/>
  <c r="A53" i="55"/>
  <c r="A110" i="55"/>
  <c r="A162" i="55"/>
  <c r="A221" i="55"/>
  <c r="A32" i="55"/>
  <c r="A89" i="55"/>
  <c r="A141" i="55"/>
  <c r="H61" i="55"/>
  <c r="G61" i="55"/>
  <c r="F61" i="55"/>
  <c r="E61" i="55"/>
  <c r="D61" i="55"/>
  <c r="C61" i="55"/>
  <c r="B61" i="55"/>
  <c r="B66" i="83"/>
  <c r="C66" i="83"/>
  <c r="D66" i="83"/>
  <c r="E66" i="83"/>
  <c r="F66" i="83"/>
  <c r="G66" i="83"/>
  <c r="H66" i="83"/>
  <c r="B65" i="83"/>
  <c r="C65" i="83"/>
  <c r="D65" i="83"/>
  <c r="E65" i="83"/>
  <c r="F65" i="83"/>
  <c r="G65" i="83"/>
  <c r="H65" i="83"/>
  <c r="B64" i="83"/>
  <c r="C64" i="83"/>
  <c r="D64" i="83"/>
  <c r="E64" i="83"/>
  <c r="F64" i="83"/>
  <c r="G64" i="83"/>
  <c r="H64" i="83"/>
  <c r="B109" i="81"/>
  <c r="C109" i="81"/>
  <c r="D109" i="81"/>
  <c r="E109" i="81"/>
  <c r="F109" i="81"/>
  <c r="G109" i="81"/>
  <c r="H109" i="81"/>
  <c r="B100" i="81"/>
  <c r="C100" i="81"/>
  <c r="D100" i="81"/>
  <c r="E100" i="81"/>
  <c r="F100" i="81"/>
  <c r="G100" i="81"/>
  <c r="H100" i="81"/>
  <c r="A100" i="81"/>
  <c r="B87" i="81"/>
  <c r="C87" i="81"/>
  <c r="D87" i="81"/>
  <c r="E87" i="81"/>
  <c r="F87" i="81"/>
  <c r="G87" i="81"/>
  <c r="H87" i="81"/>
  <c r="B86" i="81"/>
  <c r="C86" i="81"/>
  <c r="D86" i="81"/>
  <c r="E86" i="81"/>
  <c r="F86" i="81"/>
  <c r="G86" i="81"/>
  <c r="H86" i="81"/>
  <c r="K12" i="81"/>
  <c r="L12" i="81"/>
  <c r="M12" i="81"/>
  <c r="N12" i="81"/>
  <c r="N14" i="81"/>
  <c r="M14" i="81"/>
  <c r="L14" i="81"/>
  <c r="K14" i="81"/>
  <c r="J14" i="81"/>
  <c r="V12" i="81"/>
  <c r="W12" i="81"/>
  <c r="X12" i="81"/>
  <c r="P12" i="81"/>
  <c r="Q12" i="81"/>
  <c r="R12" i="81"/>
  <c r="S12" i="81"/>
  <c r="T12" i="81"/>
  <c r="H6" i="21"/>
  <c r="I170" i="29"/>
  <c r="H7" i="21"/>
  <c r="I171" i="29"/>
  <c r="H10" i="21"/>
  <c r="I174" i="29"/>
  <c r="H11" i="21"/>
  <c r="I175" i="29"/>
  <c r="H8" i="21"/>
  <c r="I172" i="29"/>
  <c r="H9" i="21"/>
  <c r="I173" i="29"/>
  <c r="I176" i="29"/>
  <c r="I177" i="29"/>
  <c r="H16" i="21"/>
  <c r="H17" i="21"/>
  <c r="H20" i="21"/>
  <c r="H21" i="21"/>
  <c r="H18" i="21"/>
  <c r="H19" i="21"/>
  <c r="H23" i="21"/>
  <c r="I180" i="29"/>
  <c r="H27" i="21"/>
  <c r="F4" i="22"/>
  <c r="G4" i="22"/>
  <c r="H4" i="22"/>
  <c r="I4" i="22"/>
  <c r="J4" i="22"/>
  <c r="K4" i="22"/>
  <c r="K8" i="22"/>
  <c r="K9" i="22"/>
  <c r="K10" i="22"/>
  <c r="K16" i="22"/>
  <c r="K14" i="22"/>
  <c r="K15" i="22"/>
  <c r="K11" i="22"/>
  <c r="K12" i="22"/>
  <c r="K13" i="22"/>
  <c r="K17" i="22"/>
  <c r="K18" i="22"/>
  <c r="K19" i="22"/>
  <c r="K20" i="22"/>
  <c r="K21" i="22"/>
  <c r="K22" i="22"/>
  <c r="K23" i="22"/>
  <c r="H33" i="21"/>
  <c r="H28" i="21"/>
  <c r="H26" i="21"/>
  <c r="H29" i="21"/>
  <c r="H30" i="21"/>
  <c r="H31" i="21"/>
  <c r="H34" i="21"/>
  <c r="I179" i="29"/>
  <c r="I181" i="29"/>
  <c r="I182" i="29"/>
  <c r="G6" i="21"/>
  <c r="H170" i="29"/>
  <c r="G7" i="21"/>
  <c r="H171" i="29"/>
  <c r="G10" i="21"/>
  <c r="H174" i="29"/>
  <c r="G11" i="21"/>
  <c r="H175" i="29"/>
  <c r="G8" i="21"/>
  <c r="H172" i="29"/>
  <c r="G9" i="21"/>
  <c r="H173" i="29"/>
  <c r="H176" i="29"/>
  <c r="H177" i="29"/>
  <c r="G16" i="21"/>
  <c r="G17" i="21"/>
  <c r="G20" i="21"/>
  <c r="G21" i="21"/>
  <c r="G18" i="21"/>
  <c r="G19" i="21"/>
  <c r="G23" i="21"/>
  <c r="H180" i="29"/>
  <c r="G27" i="21"/>
  <c r="J8" i="22"/>
  <c r="J9" i="22"/>
  <c r="J10" i="22"/>
  <c r="J16" i="22"/>
  <c r="J14" i="22"/>
  <c r="J15" i="22"/>
  <c r="J11" i="22"/>
  <c r="J12" i="22"/>
  <c r="J13" i="22"/>
  <c r="J17" i="22"/>
  <c r="J18" i="22"/>
  <c r="J19" i="22"/>
  <c r="J20" i="22"/>
  <c r="J21" i="22"/>
  <c r="J22" i="22"/>
  <c r="J23" i="22"/>
  <c r="G33" i="21"/>
  <c r="G28" i="21"/>
  <c r="G26" i="21"/>
  <c r="G29" i="21"/>
  <c r="G30" i="21"/>
  <c r="G31" i="21"/>
  <c r="G34" i="21"/>
  <c r="H179" i="29"/>
  <c r="H181" i="29"/>
  <c r="H182" i="29"/>
  <c r="F6" i="21"/>
  <c r="G170" i="29"/>
  <c r="F7" i="21"/>
  <c r="G171" i="29"/>
  <c r="F10" i="21"/>
  <c r="G174" i="29"/>
  <c r="F11" i="21"/>
  <c r="G175" i="29"/>
  <c r="F8" i="21"/>
  <c r="G172" i="29"/>
  <c r="F9" i="21"/>
  <c r="G173" i="29"/>
  <c r="G176" i="29"/>
  <c r="G177" i="29"/>
  <c r="F16" i="21"/>
  <c r="F17" i="21"/>
  <c r="F20" i="21"/>
  <c r="F21" i="21"/>
  <c r="F18" i="21"/>
  <c r="F19" i="21"/>
  <c r="F23" i="21"/>
  <c r="G180" i="29"/>
  <c r="F27" i="21"/>
  <c r="I8" i="22"/>
  <c r="I9" i="22"/>
  <c r="I10" i="22"/>
  <c r="I16" i="22"/>
  <c r="I14" i="22"/>
  <c r="I15" i="22"/>
  <c r="I11" i="22"/>
  <c r="I12" i="22"/>
  <c r="I13" i="22"/>
  <c r="I17" i="22"/>
  <c r="I18" i="22"/>
  <c r="I19" i="22"/>
  <c r="I20" i="22"/>
  <c r="I21" i="22"/>
  <c r="I22" i="22"/>
  <c r="I23" i="22"/>
  <c r="F33" i="21"/>
  <c r="F28" i="21"/>
  <c r="F26" i="21"/>
  <c r="F29" i="21"/>
  <c r="F30" i="21"/>
  <c r="F31" i="21"/>
  <c r="F34" i="21"/>
  <c r="G179" i="29"/>
  <c r="G181" i="29"/>
  <c r="G182" i="29"/>
  <c r="E6" i="21"/>
  <c r="F170" i="29"/>
  <c r="E7" i="21"/>
  <c r="F171" i="29"/>
  <c r="E10" i="21"/>
  <c r="F174" i="29"/>
  <c r="E11" i="21"/>
  <c r="F175" i="29"/>
  <c r="E8" i="21"/>
  <c r="F172" i="29"/>
  <c r="E9" i="21"/>
  <c r="F173" i="29"/>
  <c r="F176" i="29"/>
  <c r="F177" i="29"/>
  <c r="E16" i="21"/>
  <c r="E17" i="21"/>
  <c r="E20" i="21"/>
  <c r="E21" i="21"/>
  <c r="E18" i="21"/>
  <c r="E19" i="21"/>
  <c r="E23" i="21"/>
  <c r="F180" i="29"/>
  <c r="E27" i="21"/>
  <c r="H8" i="22"/>
  <c r="H9" i="22"/>
  <c r="H10" i="22"/>
  <c r="H16" i="22"/>
  <c r="H14" i="22"/>
  <c r="H15" i="22"/>
  <c r="H11" i="22"/>
  <c r="H12" i="22"/>
  <c r="H13" i="22"/>
  <c r="H17" i="22"/>
  <c r="H18" i="22"/>
  <c r="H19" i="22"/>
  <c r="H20" i="22"/>
  <c r="H21" i="22"/>
  <c r="H22" i="22"/>
  <c r="H23" i="22"/>
  <c r="E33" i="21"/>
  <c r="E28" i="21"/>
  <c r="E26" i="21"/>
  <c r="E29" i="21"/>
  <c r="E30" i="21"/>
  <c r="E31" i="21"/>
  <c r="E34" i="21"/>
  <c r="F179" i="29"/>
  <c r="F181" i="29"/>
  <c r="F182" i="29"/>
  <c r="D6" i="21"/>
  <c r="E170" i="29"/>
  <c r="D7" i="21"/>
  <c r="E171" i="29"/>
  <c r="D10" i="21"/>
  <c r="E174" i="29"/>
  <c r="D11" i="21"/>
  <c r="E175" i="29"/>
  <c r="D8" i="21"/>
  <c r="E172" i="29"/>
  <c r="D9" i="21"/>
  <c r="E173" i="29"/>
  <c r="E176" i="29"/>
  <c r="E177" i="29"/>
  <c r="D16" i="21"/>
  <c r="D17" i="21"/>
  <c r="D20" i="21"/>
  <c r="D21" i="21"/>
  <c r="D18" i="21"/>
  <c r="D19" i="21"/>
  <c r="D23" i="21"/>
  <c r="E180" i="29"/>
  <c r="D27" i="21"/>
  <c r="G8" i="22"/>
  <c r="G9" i="22"/>
  <c r="G10" i="22"/>
  <c r="G16" i="22"/>
  <c r="G14" i="22"/>
  <c r="G15" i="22"/>
  <c r="G11" i="22"/>
  <c r="G12" i="22"/>
  <c r="G13" i="22"/>
  <c r="G17" i="22"/>
  <c r="G18" i="22"/>
  <c r="G19" i="22"/>
  <c r="G20" i="22"/>
  <c r="G21" i="22"/>
  <c r="G22" i="22"/>
  <c r="G23" i="22"/>
  <c r="D33" i="21"/>
  <c r="D28" i="21"/>
  <c r="D26" i="21"/>
  <c r="D29" i="21"/>
  <c r="D30" i="21"/>
  <c r="D31" i="21"/>
  <c r="D34" i="21"/>
  <c r="E179" i="29"/>
  <c r="E181" i="29"/>
  <c r="E182" i="29"/>
  <c r="C6" i="21"/>
  <c r="D170" i="29"/>
  <c r="C7" i="21"/>
  <c r="D171" i="29"/>
  <c r="C10" i="21"/>
  <c r="D174" i="29"/>
  <c r="C11" i="21"/>
  <c r="D175" i="29"/>
  <c r="C8" i="21"/>
  <c r="D172" i="29"/>
  <c r="C9" i="21"/>
  <c r="D173" i="29"/>
  <c r="D176" i="29"/>
  <c r="D177" i="29"/>
  <c r="C16" i="21"/>
  <c r="C17" i="21"/>
  <c r="C20" i="21"/>
  <c r="C21" i="21"/>
  <c r="C18" i="21"/>
  <c r="C19" i="21"/>
  <c r="C23" i="21"/>
  <c r="D180" i="29"/>
  <c r="C27" i="21"/>
  <c r="F8" i="22"/>
  <c r="F9" i="22"/>
  <c r="F10" i="22"/>
  <c r="F16" i="22"/>
  <c r="F14" i="22"/>
  <c r="F15" i="22"/>
  <c r="F11" i="22"/>
  <c r="F12" i="22"/>
  <c r="F13" i="22"/>
  <c r="F17" i="22"/>
  <c r="F18" i="22"/>
  <c r="F19" i="22"/>
  <c r="F20" i="22"/>
  <c r="F21" i="22"/>
  <c r="F22" i="22"/>
  <c r="F23" i="22"/>
  <c r="C33" i="21"/>
  <c r="C28" i="21"/>
  <c r="C26" i="21"/>
  <c r="C29" i="21"/>
  <c r="C30" i="21"/>
  <c r="C31" i="21"/>
  <c r="C34" i="21"/>
  <c r="D179" i="29"/>
  <c r="D181" i="29"/>
  <c r="D182" i="29"/>
  <c r="C170" i="29"/>
  <c r="B7" i="21"/>
  <c r="C171" i="29"/>
  <c r="B10" i="21"/>
  <c r="C174" i="29"/>
  <c r="B11" i="21"/>
  <c r="C175" i="29"/>
  <c r="B8" i="21"/>
  <c r="C172" i="29"/>
  <c r="B9" i="21"/>
  <c r="C173" i="29"/>
  <c r="C176" i="29"/>
  <c r="C177" i="29"/>
  <c r="B16" i="21"/>
  <c r="B17" i="21"/>
  <c r="B20" i="21"/>
  <c r="B21" i="21"/>
  <c r="B18" i="21"/>
  <c r="B19" i="21"/>
  <c r="B23" i="21"/>
  <c r="C180" i="29"/>
  <c r="B27" i="21"/>
  <c r="E8" i="22"/>
  <c r="E9" i="22"/>
  <c r="E10" i="22"/>
  <c r="E16" i="22"/>
  <c r="E14" i="22"/>
  <c r="E15" i="22"/>
  <c r="E11" i="22"/>
  <c r="E12" i="22"/>
  <c r="E13" i="22"/>
  <c r="E17" i="22"/>
  <c r="E18" i="22"/>
  <c r="E19" i="22"/>
  <c r="E20" i="22"/>
  <c r="E21" i="22"/>
  <c r="E22" i="22"/>
  <c r="E23" i="22"/>
  <c r="B33" i="21"/>
  <c r="B28" i="21"/>
  <c r="B26" i="21"/>
  <c r="B29" i="21"/>
  <c r="B30" i="21"/>
  <c r="B31" i="21"/>
  <c r="B34" i="21"/>
  <c r="C179" i="29"/>
  <c r="C181" i="29"/>
  <c r="C182" i="29"/>
  <c r="B131" i="29"/>
  <c r="B146" i="29"/>
  <c r="B161" i="29"/>
  <c r="B176" i="29"/>
  <c r="B130" i="29"/>
  <c r="B145" i="29"/>
  <c r="B160" i="29"/>
  <c r="B175" i="29"/>
  <c r="B129" i="29"/>
  <c r="B144" i="29"/>
  <c r="B159" i="29"/>
  <c r="B174" i="29"/>
  <c r="B128" i="29"/>
  <c r="B143" i="29"/>
  <c r="B158" i="29"/>
  <c r="B173" i="29"/>
  <c r="B127" i="29"/>
  <c r="B142" i="29"/>
  <c r="B157" i="29"/>
  <c r="B172" i="29"/>
  <c r="B126" i="29"/>
  <c r="B141" i="29"/>
  <c r="B156" i="29"/>
  <c r="B171" i="29"/>
  <c r="B125" i="29"/>
  <c r="B140" i="29"/>
  <c r="B155" i="29"/>
  <c r="B170" i="29"/>
  <c r="I155" i="29"/>
  <c r="I156" i="29"/>
  <c r="I159" i="29"/>
  <c r="I160" i="29"/>
  <c r="I157" i="29"/>
  <c r="I158" i="29"/>
  <c r="I161" i="29"/>
  <c r="I162" i="29"/>
  <c r="I165" i="29"/>
  <c r="I164" i="29"/>
  <c r="I166" i="29"/>
  <c r="I167" i="29"/>
  <c r="H155" i="29"/>
  <c r="H156" i="29"/>
  <c r="H159" i="29"/>
  <c r="H160" i="29"/>
  <c r="H157" i="29"/>
  <c r="H158" i="29"/>
  <c r="H161" i="29"/>
  <c r="H162" i="29"/>
  <c r="H165" i="29"/>
  <c r="H164" i="29"/>
  <c r="H166" i="29"/>
  <c r="H167" i="29"/>
  <c r="G155" i="29"/>
  <c r="G156" i="29"/>
  <c r="G159" i="29"/>
  <c r="G160" i="29"/>
  <c r="G157" i="29"/>
  <c r="G158" i="29"/>
  <c r="G161" i="29"/>
  <c r="G162" i="29"/>
  <c r="G165" i="29"/>
  <c r="G164" i="29"/>
  <c r="G166" i="29"/>
  <c r="G167" i="29"/>
  <c r="F155" i="29"/>
  <c r="F156" i="29"/>
  <c r="F159" i="29"/>
  <c r="F160" i="29"/>
  <c r="F157" i="29"/>
  <c r="F158" i="29"/>
  <c r="F161" i="29"/>
  <c r="F162" i="29"/>
  <c r="F165" i="29"/>
  <c r="F164" i="29"/>
  <c r="F166" i="29"/>
  <c r="F167" i="29"/>
  <c r="E155" i="29"/>
  <c r="E156" i="29"/>
  <c r="E159" i="29"/>
  <c r="E160" i="29"/>
  <c r="E157" i="29"/>
  <c r="E158" i="29"/>
  <c r="E161" i="29"/>
  <c r="E162" i="29"/>
  <c r="E165" i="29"/>
  <c r="E164" i="29"/>
  <c r="E166" i="29"/>
  <c r="E167" i="29"/>
  <c r="D155" i="29"/>
  <c r="D156" i="29"/>
  <c r="D159" i="29"/>
  <c r="D160" i="29"/>
  <c r="D157" i="29"/>
  <c r="D158" i="29"/>
  <c r="D161" i="29"/>
  <c r="D162" i="29"/>
  <c r="D165" i="29"/>
  <c r="D164" i="29"/>
  <c r="D166" i="29"/>
  <c r="D167" i="29"/>
  <c r="C155" i="29"/>
  <c r="C156" i="29"/>
  <c r="C159" i="29"/>
  <c r="C160" i="29"/>
  <c r="C157" i="29"/>
  <c r="C158" i="29"/>
  <c r="C161" i="29"/>
  <c r="C162" i="29"/>
  <c r="C165" i="29"/>
  <c r="C164" i="29"/>
  <c r="C166" i="29"/>
  <c r="C167" i="29"/>
  <c r="I140" i="29"/>
  <c r="I141" i="29"/>
  <c r="I144" i="29"/>
  <c r="I145" i="29"/>
  <c r="I142" i="29"/>
  <c r="I143" i="29"/>
  <c r="I146" i="29"/>
  <c r="I147" i="29"/>
  <c r="I150" i="29"/>
  <c r="I149" i="29"/>
  <c r="I151" i="29"/>
  <c r="I152" i="29"/>
  <c r="H140" i="29"/>
  <c r="H141" i="29"/>
  <c r="H144" i="29"/>
  <c r="H145" i="29"/>
  <c r="H142" i="29"/>
  <c r="H143" i="29"/>
  <c r="H146" i="29"/>
  <c r="H147" i="29"/>
  <c r="H150" i="29"/>
  <c r="H149" i="29"/>
  <c r="H151" i="29"/>
  <c r="H152" i="29"/>
  <c r="G140" i="29"/>
  <c r="G141" i="29"/>
  <c r="G144" i="29"/>
  <c r="G145" i="29"/>
  <c r="G142" i="29"/>
  <c r="G143" i="29"/>
  <c r="G146" i="29"/>
  <c r="G147" i="29"/>
  <c r="G150" i="29"/>
  <c r="G149" i="29"/>
  <c r="G151" i="29"/>
  <c r="G152" i="29"/>
  <c r="F140" i="29"/>
  <c r="F141" i="29"/>
  <c r="F144" i="29"/>
  <c r="F145" i="29"/>
  <c r="F142" i="29"/>
  <c r="F143" i="29"/>
  <c r="F146" i="29"/>
  <c r="F147" i="29"/>
  <c r="F150" i="29"/>
  <c r="F149" i="29"/>
  <c r="F151" i="29"/>
  <c r="F152" i="29"/>
  <c r="E140" i="29"/>
  <c r="E141" i="29"/>
  <c r="E144" i="29"/>
  <c r="E145" i="29"/>
  <c r="E142" i="29"/>
  <c r="E143" i="29"/>
  <c r="E146" i="29"/>
  <c r="E147" i="29"/>
  <c r="E150" i="29"/>
  <c r="E149" i="29"/>
  <c r="E151" i="29"/>
  <c r="E152" i="29"/>
  <c r="D140" i="29"/>
  <c r="D141" i="29"/>
  <c r="D144" i="29"/>
  <c r="D145" i="29"/>
  <c r="D142" i="29"/>
  <c r="D143" i="29"/>
  <c r="D146" i="29"/>
  <c r="D147" i="29"/>
  <c r="D150" i="29"/>
  <c r="D149" i="29"/>
  <c r="D151" i="29"/>
  <c r="D152" i="29"/>
  <c r="C140" i="29"/>
  <c r="C141" i="29"/>
  <c r="C144" i="29"/>
  <c r="C145" i="29"/>
  <c r="C142" i="29"/>
  <c r="C143" i="29"/>
  <c r="C146" i="29"/>
  <c r="C147" i="29"/>
  <c r="C150" i="29"/>
  <c r="C149" i="29"/>
  <c r="C151" i="29"/>
  <c r="C152" i="29"/>
  <c r="I125" i="29"/>
  <c r="I126" i="29"/>
  <c r="I129" i="29"/>
  <c r="I130" i="29"/>
  <c r="I127" i="29"/>
  <c r="I128" i="29"/>
  <c r="I131" i="29"/>
  <c r="I132" i="29"/>
  <c r="I135" i="29"/>
  <c r="I134" i="29"/>
  <c r="I136" i="29"/>
  <c r="I137" i="29"/>
  <c r="H125" i="29"/>
  <c r="H126" i="29"/>
  <c r="H129" i="29"/>
  <c r="H130" i="29"/>
  <c r="H127" i="29"/>
  <c r="H128" i="29"/>
  <c r="H131" i="29"/>
  <c r="H132" i="29"/>
  <c r="H135" i="29"/>
  <c r="H134" i="29"/>
  <c r="H136" i="29"/>
  <c r="H137" i="29"/>
  <c r="G125" i="29"/>
  <c r="G126" i="29"/>
  <c r="G129" i="29"/>
  <c r="G130" i="29"/>
  <c r="G127" i="29"/>
  <c r="G128" i="29"/>
  <c r="G131" i="29"/>
  <c r="G132" i="29"/>
  <c r="G135" i="29"/>
  <c r="G134" i="29"/>
  <c r="G136" i="29"/>
  <c r="G137" i="29"/>
  <c r="F125" i="29"/>
  <c r="F126" i="29"/>
  <c r="F129" i="29"/>
  <c r="F130" i="29"/>
  <c r="F127" i="29"/>
  <c r="F128" i="29"/>
  <c r="F131" i="29"/>
  <c r="F132" i="29"/>
  <c r="F135" i="29"/>
  <c r="F134" i="29"/>
  <c r="F136" i="29"/>
  <c r="F137" i="29"/>
  <c r="E125" i="29"/>
  <c r="E126" i="29"/>
  <c r="E129" i="29"/>
  <c r="E130" i="29"/>
  <c r="E127" i="29"/>
  <c r="E128" i="29"/>
  <c r="E131" i="29"/>
  <c r="E132" i="29"/>
  <c r="E135" i="29"/>
  <c r="E134" i="29"/>
  <c r="E136" i="29"/>
  <c r="E137" i="29"/>
  <c r="D125" i="29"/>
  <c r="D126" i="29"/>
  <c r="D129" i="29"/>
  <c r="D130" i="29"/>
  <c r="D127" i="29"/>
  <c r="D128" i="29"/>
  <c r="D131" i="29"/>
  <c r="D132" i="29"/>
  <c r="D135" i="29"/>
  <c r="D134" i="29"/>
  <c r="D136" i="29"/>
  <c r="D137" i="29"/>
  <c r="C125" i="29"/>
  <c r="C126" i="29"/>
  <c r="C129" i="29"/>
  <c r="C130" i="29"/>
  <c r="C127" i="29"/>
  <c r="C128" i="29"/>
  <c r="C131" i="29"/>
  <c r="C132" i="29"/>
  <c r="C135" i="29"/>
  <c r="C134" i="29"/>
  <c r="C136" i="29"/>
  <c r="C137" i="29"/>
  <c r="C37" i="22"/>
  <c r="C38" i="22"/>
  <c r="C43" i="22"/>
  <c r="C44" i="22"/>
  <c r="C55" i="22"/>
  <c r="C56" i="22"/>
  <c r="C49" i="22"/>
  <c r="C50" i="22"/>
  <c r="C61" i="22"/>
  <c r="C62" i="22"/>
  <c r="C66" i="22"/>
  <c r="B40" i="21"/>
  <c r="C110" i="29"/>
  <c r="C26" i="68"/>
  <c r="C112" i="29"/>
  <c r="D125" i="57"/>
  <c r="D11" i="62"/>
  <c r="C86" i="22"/>
  <c r="B41" i="21"/>
  <c r="C111" i="29"/>
  <c r="B13" i="21"/>
  <c r="B36" i="21"/>
  <c r="B38" i="21"/>
  <c r="C109" i="29"/>
  <c r="C113" i="29"/>
  <c r="C25" i="68"/>
  <c r="C115" i="29"/>
  <c r="C117" i="29"/>
  <c r="D38" i="22"/>
  <c r="D44" i="22"/>
  <c r="D56" i="22"/>
  <c r="D50" i="22"/>
  <c r="D62" i="22"/>
  <c r="D66" i="22"/>
  <c r="C40" i="21"/>
  <c r="D110" i="29"/>
  <c r="D26" i="68"/>
  <c r="D112" i="29"/>
  <c r="D86" i="22"/>
  <c r="C41" i="21"/>
  <c r="D111" i="29"/>
  <c r="C13" i="21"/>
  <c r="C36" i="21"/>
  <c r="C38" i="21"/>
  <c r="D109" i="29"/>
  <c r="D113" i="29"/>
  <c r="D25" i="68"/>
  <c r="D115" i="29"/>
  <c r="D117" i="29"/>
  <c r="E38" i="22"/>
  <c r="E44" i="22"/>
  <c r="E56" i="22"/>
  <c r="E50" i="22"/>
  <c r="E62" i="22"/>
  <c r="E66" i="22"/>
  <c r="D40" i="21"/>
  <c r="E110" i="29"/>
  <c r="G34" i="23"/>
  <c r="C35" i="23"/>
  <c r="D35" i="23"/>
  <c r="F35" i="23"/>
  <c r="E35" i="23"/>
  <c r="G35" i="23"/>
  <c r="C36" i="23"/>
  <c r="D36" i="23"/>
  <c r="F36" i="23"/>
  <c r="E36" i="23"/>
  <c r="G36" i="23"/>
  <c r="C37" i="23"/>
  <c r="D37" i="23"/>
  <c r="F37" i="23"/>
  <c r="E37" i="23"/>
  <c r="G37" i="23"/>
  <c r="C38" i="23"/>
  <c r="D38" i="23"/>
  <c r="F38" i="23"/>
  <c r="E38" i="23"/>
  <c r="G38" i="23"/>
  <c r="C39" i="23"/>
  <c r="D39" i="23"/>
  <c r="F39" i="23"/>
  <c r="E39" i="23"/>
  <c r="G39" i="23"/>
  <c r="C40" i="23"/>
  <c r="D40" i="23"/>
  <c r="F40" i="23"/>
  <c r="E40" i="23"/>
  <c r="G40" i="23"/>
  <c r="C41" i="23"/>
  <c r="D41" i="23"/>
  <c r="F41" i="23"/>
  <c r="E41" i="23"/>
  <c r="G41" i="23"/>
  <c r="C42" i="23"/>
  <c r="D42" i="23"/>
  <c r="F42" i="23"/>
  <c r="E42" i="23"/>
  <c r="G42" i="23"/>
  <c r="C43" i="23"/>
  <c r="D43" i="23"/>
  <c r="F43" i="23"/>
  <c r="E43" i="23"/>
  <c r="G43" i="23"/>
  <c r="C44" i="23"/>
  <c r="D44" i="23"/>
  <c r="F44" i="23"/>
  <c r="E44" i="23"/>
  <c r="G44" i="23"/>
  <c r="C45" i="23"/>
  <c r="D45" i="23"/>
  <c r="E26" i="68"/>
  <c r="E112" i="29"/>
  <c r="E86" i="22"/>
  <c r="D41" i="21"/>
  <c r="E111" i="29"/>
  <c r="D13" i="21"/>
  <c r="D36" i="21"/>
  <c r="D38" i="21"/>
  <c r="E109" i="29"/>
  <c r="E113" i="29"/>
  <c r="F45" i="23"/>
  <c r="E45" i="23"/>
  <c r="E25" i="68"/>
  <c r="E115" i="29"/>
  <c r="E117" i="29"/>
  <c r="F38" i="22"/>
  <c r="F44" i="22"/>
  <c r="F56" i="22"/>
  <c r="F50" i="22"/>
  <c r="F62" i="22"/>
  <c r="F66" i="22"/>
  <c r="E40" i="21"/>
  <c r="F110" i="29"/>
  <c r="G45" i="23"/>
  <c r="C46" i="23"/>
  <c r="D46" i="23"/>
  <c r="F46" i="23"/>
  <c r="E46" i="23"/>
  <c r="G46" i="23"/>
  <c r="C47" i="23"/>
  <c r="D47" i="23"/>
  <c r="F47" i="23"/>
  <c r="E47" i="23"/>
  <c r="G47" i="23"/>
  <c r="C48" i="23"/>
  <c r="D48" i="23"/>
  <c r="F48" i="23"/>
  <c r="E48" i="23"/>
  <c r="G48" i="23"/>
  <c r="C49" i="23"/>
  <c r="D49" i="23"/>
  <c r="F49" i="23"/>
  <c r="E49" i="23"/>
  <c r="G49" i="23"/>
  <c r="C50" i="23"/>
  <c r="D50" i="23"/>
  <c r="F50" i="23"/>
  <c r="E50" i="23"/>
  <c r="G50" i="23"/>
  <c r="C51" i="23"/>
  <c r="D51" i="23"/>
  <c r="F51" i="23"/>
  <c r="E51" i="23"/>
  <c r="G51" i="23"/>
  <c r="C52" i="23"/>
  <c r="D52" i="23"/>
  <c r="F52" i="23"/>
  <c r="E52" i="23"/>
  <c r="G52" i="23"/>
  <c r="C53" i="23"/>
  <c r="D53" i="23"/>
  <c r="F53" i="23"/>
  <c r="E53" i="23"/>
  <c r="G53" i="23"/>
  <c r="C54" i="23"/>
  <c r="D54" i="23"/>
  <c r="F54" i="23"/>
  <c r="E54" i="23"/>
  <c r="G54" i="23"/>
  <c r="C55" i="23"/>
  <c r="D55" i="23"/>
  <c r="F55" i="23"/>
  <c r="E55" i="23"/>
  <c r="G55" i="23"/>
  <c r="C56" i="23"/>
  <c r="D56" i="23"/>
  <c r="F56" i="23"/>
  <c r="E56" i="23"/>
  <c r="G56" i="23"/>
  <c r="C57" i="23"/>
  <c r="D57" i="23"/>
  <c r="F26" i="68"/>
  <c r="F112" i="29"/>
  <c r="F86" i="22"/>
  <c r="E41" i="21"/>
  <c r="F111" i="29"/>
  <c r="E13" i="21"/>
  <c r="E36" i="21"/>
  <c r="E38" i="21"/>
  <c r="F109" i="29"/>
  <c r="F113" i="29"/>
  <c r="F57" i="23"/>
  <c r="E57" i="23"/>
  <c r="F25" i="68"/>
  <c r="F115" i="29"/>
  <c r="F117" i="29"/>
  <c r="G38" i="22"/>
  <c r="G44" i="22"/>
  <c r="G56" i="22"/>
  <c r="G50" i="22"/>
  <c r="G62" i="22"/>
  <c r="G66" i="22"/>
  <c r="F40" i="21"/>
  <c r="G110" i="29"/>
  <c r="G57" i="23"/>
  <c r="C58" i="23"/>
  <c r="D58" i="23"/>
  <c r="F58" i="23"/>
  <c r="E58" i="23"/>
  <c r="G58" i="23"/>
  <c r="C59" i="23"/>
  <c r="D59" i="23"/>
  <c r="F59" i="23"/>
  <c r="E59" i="23"/>
  <c r="G59" i="23"/>
  <c r="C60" i="23"/>
  <c r="D60" i="23"/>
  <c r="F60" i="23"/>
  <c r="E60" i="23"/>
  <c r="G60" i="23"/>
  <c r="C61" i="23"/>
  <c r="D61" i="23"/>
  <c r="F61" i="23"/>
  <c r="E61" i="23"/>
  <c r="G61" i="23"/>
  <c r="C62" i="23"/>
  <c r="D62" i="23"/>
  <c r="F62" i="23"/>
  <c r="E62" i="23"/>
  <c r="G62" i="23"/>
  <c r="C63" i="23"/>
  <c r="D63" i="23"/>
  <c r="F63" i="23"/>
  <c r="E63" i="23"/>
  <c r="G63" i="23"/>
  <c r="C64" i="23"/>
  <c r="D64" i="23"/>
  <c r="F64" i="23"/>
  <c r="E64" i="23"/>
  <c r="G64" i="23"/>
  <c r="C65" i="23"/>
  <c r="D65" i="23"/>
  <c r="F65" i="23"/>
  <c r="E65" i="23"/>
  <c r="G65" i="23"/>
  <c r="C66" i="23"/>
  <c r="D66" i="23"/>
  <c r="F66" i="23"/>
  <c r="E66" i="23"/>
  <c r="G66" i="23"/>
  <c r="C67" i="23"/>
  <c r="D67" i="23"/>
  <c r="F67" i="23"/>
  <c r="E67" i="23"/>
  <c r="G67" i="23"/>
  <c r="C68" i="23"/>
  <c r="D68" i="23"/>
  <c r="F68" i="23"/>
  <c r="E68" i="23"/>
  <c r="G68" i="23"/>
  <c r="C69" i="23"/>
  <c r="D69" i="23"/>
  <c r="G26" i="68"/>
  <c r="G112" i="29"/>
  <c r="G86" i="22"/>
  <c r="F41" i="21"/>
  <c r="G111" i="29"/>
  <c r="F13" i="21"/>
  <c r="F36" i="21"/>
  <c r="F38" i="21"/>
  <c r="G109" i="29"/>
  <c r="G113" i="29"/>
  <c r="F69" i="23"/>
  <c r="E69" i="23"/>
  <c r="G25" i="68"/>
  <c r="G115" i="29"/>
  <c r="G117" i="29"/>
  <c r="H38" i="22"/>
  <c r="H44" i="22"/>
  <c r="H56" i="22"/>
  <c r="H50" i="22"/>
  <c r="H62" i="22"/>
  <c r="H66" i="22"/>
  <c r="G40" i="21"/>
  <c r="H110" i="29"/>
  <c r="G69" i="23"/>
  <c r="C70" i="23"/>
  <c r="D70" i="23"/>
  <c r="F70" i="23"/>
  <c r="E70" i="23"/>
  <c r="G70" i="23"/>
  <c r="C71" i="23"/>
  <c r="D71" i="23"/>
  <c r="F71" i="23"/>
  <c r="E71" i="23"/>
  <c r="G71" i="23"/>
  <c r="C72" i="23"/>
  <c r="D72" i="23"/>
  <c r="F72" i="23"/>
  <c r="E72" i="23"/>
  <c r="G72" i="23"/>
  <c r="C73" i="23"/>
  <c r="D73" i="23"/>
  <c r="F73" i="23"/>
  <c r="E73" i="23"/>
  <c r="G73" i="23"/>
  <c r="C74" i="23"/>
  <c r="D74" i="23"/>
  <c r="F74" i="23"/>
  <c r="E74" i="23"/>
  <c r="G74" i="23"/>
  <c r="C75" i="23"/>
  <c r="D75" i="23"/>
  <c r="F75" i="23"/>
  <c r="E75" i="23"/>
  <c r="G75" i="23"/>
  <c r="C76" i="23"/>
  <c r="D76" i="23"/>
  <c r="F76" i="23"/>
  <c r="E76" i="23"/>
  <c r="G76" i="23"/>
  <c r="C77" i="23"/>
  <c r="D77" i="23"/>
  <c r="F77" i="23"/>
  <c r="E77" i="23"/>
  <c r="G77" i="23"/>
  <c r="C78" i="23"/>
  <c r="D78" i="23"/>
  <c r="F78" i="23"/>
  <c r="E78" i="23"/>
  <c r="G78" i="23"/>
  <c r="C79" i="23"/>
  <c r="D79" i="23"/>
  <c r="F79" i="23"/>
  <c r="E79" i="23"/>
  <c r="G79" i="23"/>
  <c r="C80" i="23"/>
  <c r="D80" i="23"/>
  <c r="F80" i="23"/>
  <c r="E80" i="23"/>
  <c r="G80" i="23"/>
  <c r="C81" i="23"/>
  <c r="D81" i="23"/>
  <c r="H26" i="68"/>
  <c r="H112" i="29"/>
  <c r="G13" i="21"/>
  <c r="G36" i="21"/>
  <c r="G38" i="21"/>
  <c r="H109" i="29"/>
  <c r="G41" i="21"/>
  <c r="H111" i="29"/>
  <c r="H113" i="29"/>
  <c r="F81" i="23"/>
  <c r="E81" i="23"/>
  <c r="H25" i="68"/>
  <c r="H115" i="29"/>
  <c r="H117" i="29"/>
  <c r="I38" i="22"/>
  <c r="I44" i="22"/>
  <c r="I56" i="22"/>
  <c r="I50" i="22"/>
  <c r="I62" i="22"/>
  <c r="I66" i="22"/>
  <c r="H40" i="21"/>
  <c r="I110" i="29"/>
  <c r="G81" i="23"/>
  <c r="C82" i="23"/>
  <c r="D82" i="23"/>
  <c r="F82" i="23"/>
  <c r="E82" i="23"/>
  <c r="G82" i="23"/>
  <c r="C83" i="23"/>
  <c r="D83" i="23"/>
  <c r="F83" i="23"/>
  <c r="E83" i="23"/>
  <c r="G83" i="23"/>
  <c r="C84" i="23"/>
  <c r="D84" i="23"/>
  <c r="F84" i="23"/>
  <c r="E84" i="23"/>
  <c r="G84" i="23"/>
  <c r="C85" i="23"/>
  <c r="D85" i="23"/>
  <c r="F85" i="23"/>
  <c r="E85" i="23"/>
  <c r="G85" i="23"/>
  <c r="C86" i="23"/>
  <c r="D86" i="23"/>
  <c r="F86" i="23"/>
  <c r="E86" i="23"/>
  <c r="G86" i="23"/>
  <c r="C87" i="23"/>
  <c r="D87" i="23"/>
  <c r="F87" i="23"/>
  <c r="E87" i="23"/>
  <c r="G87" i="23"/>
  <c r="C88" i="23"/>
  <c r="D88" i="23"/>
  <c r="F88" i="23"/>
  <c r="E88" i="23"/>
  <c r="G88" i="23"/>
  <c r="C89" i="23"/>
  <c r="D89" i="23"/>
  <c r="F89" i="23"/>
  <c r="E89" i="23"/>
  <c r="G89" i="23"/>
  <c r="C90" i="23"/>
  <c r="D90" i="23"/>
  <c r="F90" i="23"/>
  <c r="E90" i="23"/>
  <c r="G90" i="23"/>
  <c r="C91" i="23"/>
  <c r="D91" i="23"/>
  <c r="F91" i="23"/>
  <c r="E91" i="23"/>
  <c r="G91" i="23"/>
  <c r="C92" i="23"/>
  <c r="D92" i="23"/>
  <c r="F92" i="23"/>
  <c r="E92" i="23"/>
  <c r="G92" i="23"/>
  <c r="C93" i="23"/>
  <c r="D93" i="23"/>
  <c r="I26" i="68"/>
  <c r="I112" i="29"/>
  <c r="H13" i="21"/>
  <c r="H36" i="21"/>
  <c r="H38" i="21"/>
  <c r="I109" i="29"/>
  <c r="H41" i="21"/>
  <c r="I111" i="29"/>
  <c r="I113" i="29"/>
  <c r="F93" i="23"/>
  <c r="E93" i="23"/>
  <c r="I25" i="68"/>
  <c r="I115" i="29"/>
  <c r="I117" i="29"/>
  <c r="C119" i="29"/>
  <c r="B43" i="21"/>
  <c r="E29" i="61"/>
  <c r="E31" i="61"/>
  <c r="E32" i="61"/>
  <c r="E34" i="61"/>
  <c r="E33" i="61"/>
  <c r="E30" i="61"/>
  <c r="E36" i="61"/>
  <c r="E17" i="61"/>
  <c r="E20" i="61"/>
  <c r="E37" i="61"/>
  <c r="E39" i="61"/>
  <c r="E42" i="61"/>
  <c r="E44" i="61"/>
  <c r="E45" i="61"/>
  <c r="E47" i="61"/>
  <c r="E46" i="61"/>
  <c r="E43" i="61"/>
  <c r="E49" i="61"/>
  <c r="E50" i="61"/>
  <c r="C11" i="68"/>
  <c r="C27" i="68"/>
  <c r="C28" i="68"/>
  <c r="B45" i="21"/>
  <c r="B47" i="21"/>
  <c r="B95" i="22"/>
  <c r="B96" i="22"/>
  <c r="K37" i="22"/>
  <c r="K38" i="22"/>
  <c r="K43" i="22"/>
  <c r="K44" i="22"/>
  <c r="K55" i="22"/>
  <c r="K56" i="22"/>
  <c r="K49" i="22"/>
  <c r="K50" i="22"/>
  <c r="K61" i="22"/>
  <c r="K62" i="22"/>
  <c r="K66" i="22"/>
  <c r="B97" i="22"/>
  <c r="B98" i="22"/>
  <c r="B99" i="22"/>
  <c r="B48" i="21"/>
  <c r="B49" i="21"/>
  <c r="D95" i="29"/>
  <c r="D96" i="29"/>
  <c r="D97" i="29"/>
  <c r="D98" i="29"/>
  <c r="E51" i="61"/>
  <c r="D12" i="62"/>
  <c r="D13" i="62"/>
  <c r="C94" i="29"/>
  <c r="D99" i="29"/>
  <c r="C43" i="21"/>
  <c r="F29" i="61"/>
  <c r="F31" i="61"/>
  <c r="F32" i="61"/>
  <c r="F34" i="61"/>
  <c r="F33" i="61"/>
  <c r="F30" i="61"/>
  <c r="F36" i="61"/>
  <c r="F17" i="61"/>
  <c r="F20" i="61"/>
  <c r="F37" i="61"/>
  <c r="F39" i="61"/>
  <c r="F42" i="61"/>
  <c r="F44" i="61"/>
  <c r="F45" i="61"/>
  <c r="F47" i="61"/>
  <c r="F46" i="61"/>
  <c r="F43" i="61"/>
  <c r="F49" i="61"/>
  <c r="F50" i="61"/>
  <c r="D11" i="68"/>
  <c r="D27" i="68"/>
  <c r="D28" i="68"/>
  <c r="C45" i="21"/>
  <c r="C47" i="21"/>
  <c r="C95" i="22"/>
  <c r="C96" i="22"/>
  <c r="K40" i="22"/>
  <c r="L37" i="22"/>
  <c r="L38" i="22"/>
  <c r="K46" i="22"/>
  <c r="L43" i="22"/>
  <c r="L44" i="22"/>
  <c r="K58" i="22"/>
  <c r="L55" i="22"/>
  <c r="L56" i="22"/>
  <c r="K52" i="22"/>
  <c r="L49" i="22"/>
  <c r="L50" i="22"/>
  <c r="K64" i="22"/>
  <c r="L61" i="22"/>
  <c r="L62" i="22"/>
  <c r="L66" i="22"/>
  <c r="C97" i="22"/>
  <c r="C98" i="22"/>
  <c r="C99" i="22"/>
  <c r="C48" i="21"/>
  <c r="C49" i="21"/>
  <c r="E95" i="29"/>
  <c r="E96" i="29"/>
  <c r="E97" i="29"/>
  <c r="E98" i="29"/>
  <c r="E99" i="29"/>
  <c r="D43" i="21"/>
  <c r="G29" i="61"/>
  <c r="G31" i="61"/>
  <c r="G32" i="61"/>
  <c r="G34" i="61"/>
  <c r="G33" i="61"/>
  <c r="G30" i="61"/>
  <c r="G36" i="61"/>
  <c r="G17" i="61"/>
  <c r="G20" i="61"/>
  <c r="G37" i="61"/>
  <c r="G39" i="61"/>
  <c r="G42" i="61"/>
  <c r="G44" i="61"/>
  <c r="G45" i="61"/>
  <c r="G47" i="61"/>
  <c r="G46" i="61"/>
  <c r="G43" i="61"/>
  <c r="G49" i="61"/>
  <c r="G50" i="61"/>
  <c r="E11" i="68"/>
  <c r="E27" i="68"/>
  <c r="E28" i="68"/>
  <c r="D45" i="21"/>
  <c r="D47" i="21"/>
  <c r="D95" i="22"/>
  <c r="D96" i="22"/>
  <c r="L40" i="22"/>
  <c r="M37" i="22"/>
  <c r="M38" i="22"/>
  <c r="L46" i="22"/>
  <c r="M43" i="22"/>
  <c r="M44" i="22"/>
  <c r="L58" i="22"/>
  <c r="M55" i="22"/>
  <c r="M56" i="22"/>
  <c r="L52" i="22"/>
  <c r="M49" i="22"/>
  <c r="M50" i="22"/>
  <c r="L64" i="22"/>
  <c r="M61" i="22"/>
  <c r="M62" i="22"/>
  <c r="M66" i="22"/>
  <c r="D97" i="22"/>
  <c r="D98" i="22"/>
  <c r="D99" i="22"/>
  <c r="D48" i="21"/>
  <c r="D49" i="21"/>
  <c r="F95" i="29"/>
  <c r="F96" i="29"/>
  <c r="F97" i="29"/>
  <c r="F98" i="29"/>
  <c r="F99" i="29"/>
  <c r="E43" i="21"/>
  <c r="H29" i="61"/>
  <c r="H31" i="61"/>
  <c r="H32" i="61"/>
  <c r="H34" i="61"/>
  <c r="H33" i="61"/>
  <c r="H30" i="61"/>
  <c r="H36" i="61"/>
  <c r="H17" i="61"/>
  <c r="H20" i="61"/>
  <c r="H37" i="61"/>
  <c r="H39" i="61"/>
  <c r="H42" i="61"/>
  <c r="H44" i="61"/>
  <c r="H45" i="61"/>
  <c r="H47" i="61"/>
  <c r="H46" i="61"/>
  <c r="H43" i="61"/>
  <c r="H49" i="61"/>
  <c r="H50" i="61"/>
  <c r="F11" i="68"/>
  <c r="F27" i="68"/>
  <c r="F28" i="68"/>
  <c r="E45" i="21"/>
  <c r="E47" i="21"/>
  <c r="E95" i="22"/>
  <c r="E96" i="22"/>
  <c r="M40" i="22"/>
  <c r="N37" i="22"/>
  <c r="N38" i="22"/>
  <c r="M46" i="22"/>
  <c r="N43" i="22"/>
  <c r="N44" i="22"/>
  <c r="M58" i="22"/>
  <c r="N55" i="22"/>
  <c r="N56" i="22"/>
  <c r="M52" i="22"/>
  <c r="N49" i="22"/>
  <c r="N50" i="22"/>
  <c r="M64" i="22"/>
  <c r="N61" i="22"/>
  <c r="N62" i="22"/>
  <c r="N66" i="22"/>
  <c r="E97" i="22"/>
  <c r="E98" i="22"/>
  <c r="E99" i="22"/>
  <c r="E48" i="21"/>
  <c r="E49" i="21"/>
  <c r="G95" i="29"/>
  <c r="G96" i="29"/>
  <c r="G97" i="29"/>
  <c r="G98" i="29"/>
  <c r="G99" i="29"/>
  <c r="F43" i="21"/>
  <c r="I29" i="61"/>
  <c r="I31" i="61"/>
  <c r="I32" i="61"/>
  <c r="I34" i="61"/>
  <c r="I33" i="61"/>
  <c r="I30" i="61"/>
  <c r="I36" i="61"/>
  <c r="I17" i="61"/>
  <c r="I20" i="61"/>
  <c r="I37" i="61"/>
  <c r="I39" i="61"/>
  <c r="I42" i="61"/>
  <c r="I44" i="61"/>
  <c r="I45" i="61"/>
  <c r="I47" i="61"/>
  <c r="I46" i="61"/>
  <c r="I43" i="61"/>
  <c r="I49" i="61"/>
  <c r="I50" i="61"/>
  <c r="G11" i="68"/>
  <c r="G27" i="68"/>
  <c r="G28" i="68"/>
  <c r="F45" i="21"/>
  <c r="F47" i="21"/>
  <c r="F95" i="22"/>
  <c r="F96" i="22"/>
  <c r="N40" i="22"/>
  <c r="O37" i="22"/>
  <c r="O38" i="22"/>
  <c r="N46" i="22"/>
  <c r="O43" i="22"/>
  <c r="O44" i="22"/>
  <c r="N58" i="22"/>
  <c r="O55" i="22"/>
  <c r="O56" i="22"/>
  <c r="N52" i="22"/>
  <c r="O49" i="22"/>
  <c r="O50" i="22"/>
  <c r="N64" i="22"/>
  <c r="O61" i="22"/>
  <c r="O62" i="22"/>
  <c r="O66" i="22"/>
  <c r="F97" i="22"/>
  <c r="F98" i="22"/>
  <c r="F99" i="22"/>
  <c r="F48" i="21"/>
  <c r="F49" i="21"/>
  <c r="H95" i="29"/>
  <c r="H96" i="29"/>
  <c r="H97" i="29"/>
  <c r="H98" i="29"/>
  <c r="D101" i="29"/>
  <c r="H99" i="29"/>
  <c r="H43" i="21"/>
  <c r="K29" i="61"/>
  <c r="K31" i="61"/>
  <c r="K32" i="61"/>
  <c r="K34" i="61"/>
  <c r="K33" i="61"/>
  <c r="K30" i="61"/>
  <c r="K36" i="61"/>
  <c r="K17" i="61"/>
  <c r="K20" i="61"/>
  <c r="K37" i="61"/>
  <c r="K39" i="61"/>
  <c r="K42" i="61"/>
  <c r="K44" i="61"/>
  <c r="K45" i="61"/>
  <c r="K47" i="61"/>
  <c r="K46" i="61"/>
  <c r="K43" i="61"/>
  <c r="K49" i="61"/>
  <c r="K50" i="61"/>
  <c r="I11" i="68"/>
  <c r="I27" i="68"/>
  <c r="I28" i="68"/>
  <c r="H45" i="21"/>
  <c r="H47" i="21"/>
  <c r="H95" i="22"/>
  <c r="H96" i="22"/>
  <c r="O40" i="22"/>
  <c r="P37" i="22"/>
  <c r="P38" i="22"/>
  <c r="P40" i="22"/>
  <c r="Q37" i="22"/>
  <c r="Q38" i="22"/>
  <c r="O46" i="22"/>
  <c r="P43" i="22"/>
  <c r="P44" i="22"/>
  <c r="P46" i="22"/>
  <c r="Q43" i="22"/>
  <c r="Q44" i="22"/>
  <c r="O58" i="22"/>
  <c r="P55" i="22"/>
  <c r="P56" i="22"/>
  <c r="P58" i="22"/>
  <c r="Q55" i="22"/>
  <c r="Q56" i="22"/>
  <c r="O52" i="22"/>
  <c r="P49" i="22"/>
  <c r="P50" i="22"/>
  <c r="P52" i="22"/>
  <c r="Q49" i="22"/>
  <c r="Q50" i="22"/>
  <c r="O64" i="22"/>
  <c r="P61" i="22"/>
  <c r="P62" i="22"/>
  <c r="P64" i="22"/>
  <c r="Q61" i="22"/>
  <c r="Q62" i="22"/>
  <c r="Q66" i="22"/>
  <c r="H97" i="22"/>
  <c r="H98" i="22"/>
  <c r="H99" i="22"/>
  <c r="H48" i="21"/>
  <c r="H49" i="21"/>
  <c r="J95" i="29"/>
  <c r="J96" i="29"/>
  <c r="J97" i="29"/>
  <c r="J98" i="29"/>
  <c r="G43" i="21"/>
  <c r="J29" i="61"/>
  <c r="J31" i="61"/>
  <c r="J32" i="61"/>
  <c r="J34" i="61"/>
  <c r="J33" i="61"/>
  <c r="J30" i="61"/>
  <c r="J36" i="61"/>
  <c r="J17" i="61"/>
  <c r="J20" i="61"/>
  <c r="J37" i="61"/>
  <c r="J39" i="61"/>
  <c r="J42" i="61"/>
  <c r="J44" i="61"/>
  <c r="J45" i="61"/>
  <c r="J47" i="61"/>
  <c r="J46" i="61"/>
  <c r="J43" i="61"/>
  <c r="J49" i="61"/>
  <c r="J50" i="61"/>
  <c r="H11" i="68"/>
  <c r="H27" i="68"/>
  <c r="H28" i="68"/>
  <c r="G45" i="21"/>
  <c r="G47" i="21"/>
  <c r="G95" i="22"/>
  <c r="G96" i="22"/>
  <c r="P66" i="22"/>
  <c r="G97" i="22"/>
  <c r="G98" i="22"/>
  <c r="G99" i="22"/>
  <c r="G48" i="21"/>
  <c r="G49" i="21"/>
  <c r="I95" i="29"/>
  <c r="I96" i="29"/>
  <c r="I97" i="29"/>
  <c r="I98" i="29"/>
  <c r="B98" i="29"/>
  <c r="B97" i="29"/>
  <c r="B96" i="29"/>
  <c r="B95" i="29"/>
  <c r="C80" i="29"/>
  <c r="D80" i="29"/>
  <c r="E80" i="29"/>
  <c r="F80" i="29"/>
  <c r="G80" i="29"/>
  <c r="H80" i="29"/>
  <c r="I80" i="29"/>
  <c r="C82" i="29"/>
  <c r="C83" i="29"/>
  <c r="C85" i="29"/>
  <c r="C58" i="29"/>
  <c r="C60" i="29"/>
  <c r="C61" i="29"/>
  <c r="C63" i="29"/>
  <c r="C65" i="29"/>
  <c r="C67" i="29"/>
  <c r="D58" i="29"/>
  <c r="D60" i="29"/>
  <c r="D61" i="29"/>
  <c r="D63" i="29"/>
  <c r="D65" i="29"/>
  <c r="D67" i="29"/>
  <c r="E58" i="29"/>
  <c r="E60" i="29"/>
  <c r="E61" i="29"/>
  <c r="E63" i="29"/>
  <c r="E65" i="29"/>
  <c r="E67" i="29"/>
  <c r="F58" i="29"/>
  <c r="F60" i="29"/>
  <c r="F61" i="29"/>
  <c r="F63" i="29"/>
  <c r="F65" i="29"/>
  <c r="F67" i="29"/>
  <c r="G58" i="29"/>
  <c r="G60" i="29"/>
  <c r="G61" i="29"/>
  <c r="G63" i="29"/>
  <c r="G65" i="29"/>
  <c r="G67" i="29"/>
  <c r="H58" i="29"/>
  <c r="H60" i="29"/>
  <c r="H61" i="29"/>
  <c r="H63" i="29"/>
  <c r="H65" i="29"/>
  <c r="H67" i="29"/>
  <c r="I58" i="29"/>
  <c r="I60" i="29"/>
  <c r="I61" i="29"/>
  <c r="I63" i="29"/>
  <c r="I65" i="29"/>
  <c r="I67" i="29"/>
  <c r="C69" i="29"/>
  <c r="C71" i="29"/>
  <c r="C73" i="29"/>
  <c r="C45" i="29"/>
  <c r="C32" i="29"/>
  <c r="C33" i="29"/>
  <c r="C36" i="29"/>
  <c r="C37" i="29"/>
  <c r="C34" i="29"/>
  <c r="C35" i="29"/>
  <c r="C39" i="29"/>
  <c r="C41" i="29"/>
  <c r="C43" i="29"/>
  <c r="C47" i="29"/>
  <c r="D45" i="29"/>
  <c r="D32" i="29"/>
  <c r="D33" i="29"/>
  <c r="D36" i="29"/>
  <c r="D37" i="29"/>
  <c r="D34" i="29"/>
  <c r="D35" i="29"/>
  <c r="D39" i="29"/>
  <c r="D41" i="29"/>
  <c r="D43" i="29"/>
  <c r="D47" i="29"/>
  <c r="E45" i="29"/>
  <c r="E32" i="29"/>
  <c r="E33" i="29"/>
  <c r="E36" i="29"/>
  <c r="E37" i="29"/>
  <c r="E34" i="29"/>
  <c r="E35" i="29"/>
  <c r="E39" i="29"/>
  <c r="E41" i="29"/>
  <c r="E43" i="29"/>
  <c r="E47" i="29"/>
  <c r="F45" i="29"/>
  <c r="F32" i="29"/>
  <c r="F33" i="29"/>
  <c r="F36" i="29"/>
  <c r="F37" i="29"/>
  <c r="F34" i="29"/>
  <c r="F35" i="29"/>
  <c r="F39" i="29"/>
  <c r="F41" i="29"/>
  <c r="F43" i="29"/>
  <c r="F47" i="29"/>
  <c r="G45" i="29"/>
  <c r="G32" i="29"/>
  <c r="G33" i="29"/>
  <c r="G36" i="29"/>
  <c r="G37" i="29"/>
  <c r="G34" i="29"/>
  <c r="G35" i="29"/>
  <c r="G39" i="29"/>
  <c r="G41" i="29"/>
  <c r="G43" i="29"/>
  <c r="G47" i="29"/>
  <c r="H45" i="29"/>
  <c r="H32" i="29"/>
  <c r="H33" i="29"/>
  <c r="H36" i="29"/>
  <c r="H37" i="29"/>
  <c r="H34" i="29"/>
  <c r="H35" i="29"/>
  <c r="H39" i="29"/>
  <c r="H41" i="29"/>
  <c r="H43" i="29"/>
  <c r="H47" i="29"/>
  <c r="I45" i="29"/>
  <c r="I32" i="29"/>
  <c r="I33" i="29"/>
  <c r="I36" i="29"/>
  <c r="I37" i="29"/>
  <c r="I34" i="29"/>
  <c r="I35" i="29"/>
  <c r="I39" i="29"/>
  <c r="I41" i="29"/>
  <c r="I43" i="29"/>
  <c r="I47" i="29"/>
  <c r="C49" i="29"/>
  <c r="B37" i="29"/>
  <c r="B36" i="29"/>
  <c r="B35" i="29"/>
  <c r="B34" i="29"/>
  <c r="B33" i="29"/>
  <c r="B32" i="29"/>
  <c r="D9" i="29"/>
  <c r="D11" i="29"/>
  <c r="D12" i="29"/>
  <c r="D14" i="29"/>
  <c r="C15" i="29"/>
  <c r="D15" i="29"/>
  <c r="E9" i="29"/>
  <c r="E11" i="29"/>
  <c r="E12" i="29"/>
  <c r="E14" i="29"/>
  <c r="E15" i="29"/>
  <c r="F9" i="29"/>
  <c r="F11" i="29"/>
  <c r="F12" i="29"/>
  <c r="F14" i="29"/>
  <c r="F15" i="29"/>
  <c r="G9" i="29"/>
  <c r="G11" i="29"/>
  <c r="G12" i="29"/>
  <c r="G14" i="29"/>
  <c r="G15" i="29"/>
  <c r="H9" i="29"/>
  <c r="H11" i="29"/>
  <c r="H12" i="29"/>
  <c r="H14" i="29"/>
  <c r="H15" i="29"/>
  <c r="I9" i="29"/>
  <c r="I11" i="29"/>
  <c r="I12" i="29"/>
  <c r="I14" i="29"/>
  <c r="I15" i="29"/>
  <c r="J9" i="29"/>
  <c r="J11" i="29"/>
  <c r="J12" i="29"/>
  <c r="J14" i="29"/>
  <c r="J15" i="29"/>
  <c r="C16" i="29"/>
  <c r="D18" i="29"/>
  <c r="D19" i="29"/>
  <c r="E18" i="29"/>
  <c r="E19" i="29"/>
  <c r="F18" i="29"/>
  <c r="F19" i="29"/>
  <c r="G18" i="29"/>
  <c r="G19" i="29"/>
  <c r="H18" i="29"/>
  <c r="H19" i="29"/>
  <c r="I18" i="29"/>
  <c r="I19" i="29"/>
  <c r="J18" i="29"/>
  <c r="J19" i="29"/>
  <c r="D20" i="29"/>
  <c r="D22" i="29"/>
  <c r="F23" i="29"/>
  <c r="I29" i="68"/>
  <c r="I22" i="68"/>
  <c r="I23" i="68"/>
  <c r="I30" i="68"/>
  <c r="I6" i="68"/>
  <c r="I12" i="68"/>
  <c r="I31" i="68"/>
  <c r="H29" i="68"/>
  <c r="H22" i="68"/>
  <c r="H23" i="68"/>
  <c r="H30" i="68"/>
  <c r="H6" i="68"/>
  <c r="H12" i="68"/>
  <c r="H31" i="68"/>
  <c r="G29" i="68"/>
  <c r="G22" i="68"/>
  <c r="G23" i="68"/>
  <c r="G30" i="68"/>
  <c r="G6" i="68"/>
  <c r="G12" i="68"/>
  <c r="G31" i="68"/>
  <c r="F29" i="68"/>
  <c r="F22" i="68"/>
  <c r="F23" i="68"/>
  <c r="F30" i="68"/>
  <c r="F6" i="68"/>
  <c r="F12" i="68"/>
  <c r="F31" i="68"/>
  <c r="E29" i="68"/>
  <c r="E22" i="68"/>
  <c r="E23" i="68"/>
  <c r="E30" i="68"/>
  <c r="E6" i="68"/>
  <c r="E12" i="68"/>
  <c r="E31" i="68"/>
  <c r="D29" i="68"/>
  <c r="D22" i="68"/>
  <c r="D23" i="68"/>
  <c r="D30" i="68"/>
  <c r="D6" i="68"/>
  <c r="D12" i="68"/>
  <c r="D31" i="68"/>
  <c r="F6" i="62"/>
  <c r="F7" i="62"/>
  <c r="F10" i="62"/>
  <c r="F11" i="62"/>
  <c r="F8" i="62"/>
  <c r="F9" i="62"/>
  <c r="F13" i="62"/>
  <c r="E20" i="62"/>
  <c r="E22" i="62"/>
  <c r="C7" i="68"/>
  <c r="C9" i="68"/>
  <c r="C10" i="68"/>
  <c r="C6" i="68"/>
  <c r="C12" i="68"/>
  <c r="C15" i="68"/>
  <c r="C29" i="68"/>
  <c r="C16" i="68"/>
  <c r="C19" i="68"/>
  <c r="C20" i="68"/>
  <c r="C22" i="68"/>
  <c r="C23" i="68"/>
  <c r="C17" i="68"/>
  <c r="C18" i="68"/>
  <c r="C30" i="68"/>
  <c r="C31" i="68"/>
  <c r="C33" i="68"/>
  <c r="D32" i="68"/>
  <c r="D33" i="68"/>
  <c r="E32" i="68"/>
  <c r="E33" i="68"/>
  <c r="F32" i="68"/>
  <c r="F33" i="68"/>
  <c r="G32" i="68"/>
  <c r="G33" i="68"/>
  <c r="H32" i="68"/>
  <c r="H33" i="68"/>
  <c r="I32" i="68"/>
  <c r="I33" i="68"/>
  <c r="B16" i="68"/>
  <c r="B15" i="68"/>
  <c r="B9" i="68"/>
  <c r="B32" i="69"/>
  <c r="C32" i="69"/>
  <c r="D32" i="69"/>
  <c r="E32" i="69"/>
  <c r="F32" i="69"/>
  <c r="G32" i="69"/>
  <c r="H32" i="69"/>
  <c r="B50" i="21"/>
  <c r="B36" i="69"/>
  <c r="B38" i="69"/>
  <c r="C35" i="69"/>
  <c r="C36" i="69"/>
  <c r="C38" i="69"/>
  <c r="D35" i="69"/>
  <c r="D36" i="69"/>
  <c r="D38" i="69"/>
  <c r="E35" i="69"/>
  <c r="E36" i="69"/>
  <c r="E38" i="69"/>
  <c r="F35" i="69"/>
  <c r="F36" i="69"/>
  <c r="F38" i="69"/>
  <c r="G35" i="69"/>
  <c r="G36" i="69"/>
  <c r="G38" i="69"/>
  <c r="H35" i="69"/>
  <c r="H36" i="69"/>
  <c r="H38" i="69"/>
  <c r="B33" i="69"/>
  <c r="C33" i="69"/>
  <c r="D33" i="69"/>
  <c r="E33" i="69"/>
  <c r="F33" i="69"/>
  <c r="G33" i="69"/>
  <c r="H33" i="69"/>
  <c r="H40" i="69"/>
  <c r="H26" i="69"/>
  <c r="H27" i="69"/>
  <c r="H30" i="69"/>
  <c r="H42" i="69"/>
  <c r="H7" i="69"/>
  <c r="H10" i="69"/>
  <c r="C40" i="22"/>
  <c r="D37" i="22"/>
  <c r="D40" i="22"/>
  <c r="E37" i="22"/>
  <c r="E40" i="22"/>
  <c r="F37" i="22"/>
  <c r="F40" i="22"/>
  <c r="G37" i="22"/>
  <c r="G40" i="22"/>
  <c r="H37" i="22"/>
  <c r="H40" i="22"/>
  <c r="I37" i="22"/>
  <c r="C46" i="22"/>
  <c r="D43" i="22"/>
  <c r="D46" i="22"/>
  <c r="E43" i="22"/>
  <c r="E46" i="22"/>
  <c r="F43" i="22"/>
  <c r="F46" i="22"/>
  <c r="G43" i="22"/>
  <c r="G46" i="22"/>
  <c r="H43" i="22"/>
  <c r="H46" i="22"/>
  <c r="I43" i="22"/>
  <c r="C58" i="22"/>
  <c r="D55" i="22"/>
  <c r="D58" i="22"/>
  <c r="E55" i="22"/>
  <c r="E58" i="22"/>
  <c r="F55" i="22"/>
  <c r="F58" i="22"/>
  <c r="G55" i="22"/>
  <c r="G58" i="22"/>
  <c r="H55" i="22"/>
  <c r="H58" i="22"/>
  <c r="I55" i="22"/>
  <c r="C52" i="22"/>
  <c r="D49" i="22"/>
  <c r="D52" i="22"/>
  <c r="E49" i="22"/>
  <c r="E52" i="22"/>
  <c r="F49" i="22"/>
  <c r="F52" i="22"/>
  <c r="G49" i="22"/>
  <c r="G52" i="22"/>
  <c r="H49" i="22"/>
  <c r="H52" i="22"/>
  <c r="I49" i="22"/>
  <c r="C64" i="22"/>
  <c r="D61" i="22"/>
  <c r="D64" i="22"/>
  <c r="E61" i="22"/>
  <c r="E64" i="22"/>
  <c r="F61" i="22"/>
  <c r="F64" i="22"/>
  <c r="G61" i="22"/>
  <c r="G64" i="22"/>
  <c r="H61" i="22"/>
  <c r="H64" i="22"/>
  <c r="I61" i="22"/>
  <c r="I65" i="22"/>
  <c r="H12" i="69"/>
  <c r="H13" i="69"/>
  <c r="H14" i="69"/>
  <c r="B17" i="69"/>
  <c r="C17" i="69"/>
  <c r="D17" i="69"/>
  <c r="E17" i="69"/>
  <c r="F17" i="69"/>
  <c r="G17" i="69"/>
  <c r="H17" i="69"/>
  <c r="H19" i="69"/>
  <c r="H45" i="69"/>
  <c r="G27" i="69"/>
  <c r="G26" i="69"/>
  <c r="G30" i="69"/>
  <c r="G40" i="69"/>
  <c r="G42" i="69"/>
  <c r="G7" i="69"/>
  <c r="G10" i="69"/>
  <c r="H65" i="22"/>
  <c r="G12" i="69"/>
  <c r="G13" i="69"/>
  <c r="G14" i="69"/>
  <c r="G19" i="69"/>
  <c r="G45" i="69"/>
  <c r="F27" i="69"/>
  <c r="F26" i="69"/>
  <c r="F30" i="69"/>
  <c r="F40" i="69"/>
  <c r="F42" i="69"/>
  <c r="F7" i="69"/>
  <c r="F10" i="69"/>
  <c r="G65" i="22"/>
  <c r="F12" i="69"/>
  <c r="F13" i="69"/>
  <c r="F14" i="69"/>
  <c r="F19" i="69"/>
  <c r="F45" i="69"/>
  <c r="E27" i="69"/>
  <c r="E26" i="69"/>
  <c r="E30" i="69"/>
  <c r="E40" i="69"/>
  <c r="E42" i="69"/>
  <c r="E7" i="69"/>
  <c r="E10" i="69"/>
  <c r="F65" i="22"/>
  <c r="E12" i="69"/>
  <c r="E13" i="69"/>
  <c r="E14" i="69"/>
  <c r="E19" i="69"/>
  <c r="E45" i="69"/>
  <c r="D27" i="69"/>
  <c r="D26" i="69"/>
  <c r="D30" i="69"/>
  <c r="D40" i="69"/>
  <c r="D42" i="69"/>
  <c r="D7" i="69"/>
  <c r="D10" i="69"/>
  <c r="E65" i="22"/>
  <c r="D12" i="69"/>
  <c r="D13" i="69"/>
  <c r="D14" i="69"/>
  <c r="D19" i="69"/>
  <c r="D45" i="69"/>
  <c r="C27" i="69"/>
  <c r="C26" i="69"/>
  <c r="C30" i="69"/>
  <c r="C40" i="69"/>
  <c r="C42" i="69"/>
  <c r="C7" i="69"/>
  <c r="C10" i="69"/>
  <c r="D65" i="22"/>
  <c r="C12" i="69"/>
  <c r="C13" i="69"/>
  <c r="C14" i="69"/>
  <c r="C19" i="69"/>
  <c r="C45" i="69"/>
  <c r="B27" i="69"/>
  <c r="B26" i="69"/>
  <c r="B30" i="69"/>
  <c r="B40" i="69"/>
  <c r="B42" i="69"/>
  <c r="B7" i="69"/>
  <c r="B10" i="69"/>
  <c r="C65" i="22"/>
  <c r="B12" i="69"/>
  <c r="B13" i="69"/>
  <c r="B14" i="69"/>
  <c r="B19" i="69"/>
  <c r="B45" i="69"/>
  <c r="C50" i="21"/>
  <c r="D50" i="21"/>
  <c r="E50" i="21"/>
  <c r="F50" i="21"/>
  <c r="G50" i="21"/>
  <c r="H50" i="21"/>
  <c r="J38" i="21"/>
  <c r="J39" i="21"/>
  <c r="J40" i="21"/>
  <c r="A21" i="21"/>
  <c r="A31" i="21"/>
  <c r="A20" i="21"/>
  <c r="A30" i="21"/>
  <c r="A19" i="21"/>
  <c r="A29" i="21"/>
  <c r="A18" i="21"/>
  <c r="A28" i="21"/>
  <c r="A17" i="21"/>
  <c r="A27" i="21"/>
  <c r="A16" i="21"/>
  <c r="A26" i="21"/>
  <c r="C47" i="61"/>
  <c r="C46" i="61"/>
  <c r="C45" i="61"/>
  <c r="C44" i="61"/>
  <c r="C43" i="61"/>
  <c r="C42" i="61"/>
  <c r="C16" i="61"/>
  <c r="V10" i="61"/>
  <c r="V7" i="61"/>
  <c r="V8" i="61"/>
  <c r="V9" i="61"/>
  <c r="V11" i="61"/>
  <c r="V12" i="61"/>
  <c r="V15" i="61"/>
  <c r="O9" i="61"/>
  <c r="P9" i="61"/>
  <c r="Q9" i="61"/>
  <c r="R9" i="61"/>
  <c r="O10" i="61"/>
  <c r="P10" i="61"/>
  <c r="Q10" i="61"/>
  <c r="R10" i="61"/>
  <c r="R7" i="61"/>
  <c r="O8" i="61"/>
  <c r="P8" i="61"/>
  <c r="Q8" i="61"/>
  <c r="R8" i="61"/>
  <c r="O11" i="61"/>
  <c r="P11" i="61"/>
  <c r="Q11" i="61"/>
  <c r="R11" i="61"/>
  <c r="O12" i="61"/>
  <c r="P12" i="61"/>
  <c r="Q12" i="61"/>
  <c r="R12" i="61"/>
  <c r="R15" i="61"/>
  <c r="Q7" i="61"/>
  <c r="Q15" i="61"/>
  <c r="P7" i="61"/>
  <c r="P15" i="61"/>
  <c r="O7" i="61"/>
  <c r="O15" i="61"/>
  <c r="C15" i="61"/>
  <c r="C14" i="61"/>
  <c r="U12" i="61"/>
  <c r="N12" i="61"/>
  <c r="U11" i="61"/>
  <c r="N11" i="61"/>
  <c r="K8" i="61"/>
  <c r="K11" i="61"/>
  <c r="J8" i="61"/>
  <c r="J11" i="61"/>
  <c r="I8" i="61"/>
  <c r="I11" i="61"/>
  <c r="H8" i="61"/>
  <c r="H11" i="61"/>
  <c r="G8" i="61"/>
  <c r="G11" i="61"/>
  <c r="F8" i="61"/>
  <c r="F11" i="61"/>
  <c r="U10" i="61"/>
  <c r="N10" i="61"/>
  <c r="U9" i="61"/>
  <c r="N9" i="61"/>
  <c r="U8" i="61"/>
  <c r="N8" i="61"/>
  <c r="C8" i="61"/>
  <c r="E94" i="23"/>
  <c r="D94" i="23"/>
  <c r="G93" i="23"/>
  <c r="I87" i="22"/>
  <c r="H87" i="22"/>
  <c r="G87" i="22"/>
  <c r="F87" i="22"/>
  <c r="E87" i="22"/>
  <c r="D87" i="22"/>
  <c r="C87" i="22"/>
  <c r="Q40" i="22"/>
  <c r="Q46" i="22"/>
  <c r="Q58" i="22"/>
  <c r="Q52" i="22"/>
  <c r="Q64" i="22"/>
  <c r="Q68" i="22"/>
  <c r="P68" i="22"/>
  <c r="O68" i="22"/>
  <c r="N68" i="22"/>
  <c r="M68" i="22"/>
  <c r="L68" i="22"/>
  <c r="K68" i="22"/>
  <c r="I40" i="22"/>
  <c r="I46" i="22"/>
  <c r="I58" i="22"/>
  <c r="I52" i="22"/>
  <c r="I64" i="22"/>
  <c r="I68" i="22"/>
  <c r="H68" i="22"/>
  <c r="G68" i="22"/>
  <c r="F68" i="22"/>
  <c r="E68" i="22"/>
  <c r="D68" i="22"/>
  <c r="C68" i="22"/>
  <c r="K39" i="22"/>
  <c r="L39" i="22"/>
  <c r="M39" i="22"/>
  <c r="N39" i="22"/>
  <c r="O39" i="22"/>
  <c r="P39" i="22"/>
  <c r="Q39" i="22"/>
  <c r="K45" i="22"/>
  <c r="L45" i="22"/>
  <c r="M45" i="22"/>
  <c r="N45" i="22"/>
  <c r="O45" i="22"/>
  <c r="P45" i="22"/>
  <c r="Q45" i="22"/>
  <c r="K57" i="22"/>
  <c r="L57" i="22"/>
  <c r="M57" i="22"/>
  <c r="N57" i="22"/>
  <c r="O57" i="22"/>
  <c r="P57" i="22"/>
  <c r="Q57" i="22"/>
  <c r="K51" i="22"/>
  <c r="L51" i="22"/>
  <c r="M51" i="22"/>
  <c r="N51" i="22"/>
  <c r="O51" i="22"/>
  <c r="P51" i="22"/>
  <c r="Q51" i="22"/>
  <c r="K63" i="22"/>
  <c r="L63" i="22"/>
  <c r="M63" i="22"/>
  <c r="N63" i="22"/>
  <c r="O63" i="22"/>
  <c r="P63" i="22"/>
  <c r="Q63" i="22"/>
  <c r="Q67" i="22"/>
  <c r="P67" i="22"/>
  <c r="O67" i="22"/>
  <c r="N67" i="22"/>
  <c r="M67" i="22"/>
  <c r="L67" i="22"/>
  <c r="K67" i="22"/>
  <c r="C39" i="22"/>
  <c r="D39" i="22"/>
  <c r="E39" i="22"/>
  <c r="F39" i="22"/>
  <c r="G39" i="22"/>
  <c r="H39" i="22"/>
  <c r="I39" i="22"/>
  <c r="C45" i="22"/>
  <c r="D45" i="22"/>
  <c r="E45" i="22"/>
  <c r="F45" i="22"/>
  <c r="G45" i="22"/>
  <c r="H45" i="22"/>
  <c r="I45" i="22"/>
  <c r="C57" i="22"/>
  <c r="D57" i="22"/>
  <c r="E57" i="22"/>
  <c r="F57" i="22"/>
  <c r="G57" i="22"/>
  <c r="H57" i="22"/>
  <c r="I57" i="22"/>
  <c r="C51" i="22"/>
  <c r="D51" i="22"/>
  <c r="E51" i="22"/>
  <c r="F51" i="22"/>
  <c r="G51" i="22"/>
  <c r="H51" i="22"/>
  <c r="I51" i="22"/>
  <c r="C63" i="22"/>
  <c r="D63" i="22"/>
  <c r="E63" i="22"/>
  <c r="F63" i="22"/>
  <c r="G63" i="22"/>
  <c r="H63" i="22"/>
  <c r="I63" i="22"/>
  <c r="I67" i="22"/>
  <c r="H67" i="22"/>
  <c r="G67" i="22"/>
  <c r="F67" i="22"/>
  <c r="E67" i="22"/>
  <c r="D67" i="22"/>
  <c r="C67" i="22"/>
  <c r="Q65" i="22"/>
  <c r="P65" i="22"/>
  <c r="O65" i="22"/>
  <c r="N65" i="22"/>
  <c r="M65" i="22"/>
  <c r="L65" i="22"/>
  <c r="K65" i="22"/>
  <c r="A64" i="22"/>
  <c r="A63" i="22"/>
  <c r="A62" i="22"/>
  <c r="A61" i="22"/>
  <c r="H69" i="57"/>
  <c r="G49" i="57"/>
  <c r="H32" i="57"/>
  <c r="D34" i="62"/>
  <c r="D33" i="62"/>
  <c r="D32" i="62"/>
  <c r="D31" i="62"/>
  <c r="D30" i="62"/>
  <c r="D29" i="62"/>
  <c r="E23" i="62"/>
  <c r="M16" i="62"/>
  <c r="M18" i="62"/>
  <c r="C11" i="62"/>
  <c r="C10" i="62"/>
  <c r="C9" i="62"/>
  <c r="C8" i="62"/>
  <c r="C7" i="62"/>
  <c r="C6" i="62"/>
</calcChain>
</file>

<file path=xl/sharedStrings.xml><?xml version="1.0" encoding="utf-8"?>
<sst xmlns="http://schemas.openxmlformats.org/spreadsheetml/2006/main" count="1421" uniqueCount="724">
  <si>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</si>
  <si>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</si>
  <si>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</si>
  <si>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</si>
  <si>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</si>
  <si>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</si>
  <si>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</si>
  <si>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</si>
  <si>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</si>
  <si>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</si>
  <si>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</si>
  <si>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</si>
  <si>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</si>
  <si>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</si>
  <si>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</si>
  <si>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</si>
  <si>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</si>
  <si>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</si>
  <si>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</si>
  <si>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</si>
  <si>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</si>
  <si>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</si>
  <si>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</si>
  <si>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</si>
  <si>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</si>
  <si>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</si>
  <si>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</si>
  <si>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</si>
  <si>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</si>
  <si>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</si>
  <si>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</si>
  <si>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</si>
  <si>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</si>
  <si>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</si>
  <si>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</si>
  <si>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</si>
  <si>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</si>
  <si>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</si>
  <si>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</si>
  <si>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</si>
  <si>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</si>
  <si>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</si>
  <si>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</si>
  <si>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</si>
  <si>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</si>
  <si>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</si>
  <si>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</si>
  <si>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</si>
  <si>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</si>
  <si>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</si>
  <si>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</si>
  <si>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</si>
  <si>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</si>
  <si>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</si>
  <si>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</si>
  <si>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</si>
  <si>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</si>
  <si>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</si>
  <si>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</si>
  <si>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</si>
  <si>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</si>
  <si>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</si>
  <si>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</si>
  <si>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</si>
  <si>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</si>
  <si>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</si>
  <si>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</si>
  <si>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</si>
  <si>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</si>
  <si>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</si>
  <si>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</si>
  <si>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</si>
  <si>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</si>
  <si>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</si>
  <si>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</si>
  <si>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</si>
  <si>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</si>
  <si>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</si>
  <si>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</si>
  <si>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</si>
  <si>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</si>
  <si>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</si>
  <si>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</si>
  <si>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</si>
  <si>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</si>
  <si>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</si>
  <si>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</si>
  <si>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</si>
  <si>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</si>
  <si>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</si>
  <si>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</si>
  <si>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</si>
  <si>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</si>
  <si>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</si>
  <si>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</si>
  <si>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</si>
  <si>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</si>
  <si>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</si>
  <si>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</si>
  <si>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</si>
  <si>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</si>
  <si>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</si>
  <si>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</si>
  <si>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</si>
  <si>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</si>
  <si>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</si>
  <si>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</si>
  <si>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</si>
  <si>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</si>
  <si>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</si>
  <si>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</si>
  <si>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</si>
  <si>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</si>
  <si>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</si>
  <si>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</si>
  <si>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</si>
  <si>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</si>
  <si>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</si>
  <si>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</si>
  <si>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</si>
  <si>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</si>
  <si>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</si>
  <si>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</si>
  <si>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</si>
  <si>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</si>
  <si>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</si>
  <si>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</si>
  <si>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</si>
  <si>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</si>
  <si>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</si>
  <si>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</si>
  <si>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</si>
  <si>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</si>
  <si>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</si>
  <si>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</si>
  <si>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</si>
  <si>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</si>
  <si>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</si>
  <si>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</si>
  <si>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</si>
  <si>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</si>
  <si>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</si>
  <si>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</si>
  <si>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</si>
  <si>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</si>
  <si>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</si>
  <si>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</si>
  <si>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</si>
  <si>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</si>
  <si>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</si>
  <si>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</si>
  <si>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</si>
  <si>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</si>
  <si>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</si>
  <si>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</si>
  <si>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</si>
  <si>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</si>
  <si>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</si>
  <si>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</si>
  <si>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</si>
  <si>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</si>
  <si>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</si>
  <si>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</si>
  <si>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</si>
  <si>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</si>
  <si>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</si>
  <si>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</si>
  <si>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</si>
  <si>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</si>
  <si>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</si>
  <si>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</si>
  <si>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</si>
  <si>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</si>
  <si>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</si>
  <si>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</si>
  <si>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</si>
  <si>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</si>
  <si>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</si>
  <si>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</si>
  <si>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</si>
  <si>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</si>
  <si>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</si>
  <si>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</si>
  <si>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</si>
  <si>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</si>
  <si>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</si>
  <si>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</si>
  <si>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</si>
  <si>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</si>
  <si>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</si>
  <si>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</si>
  <si>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</si>
  <si>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</si>
  <si>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</si>
  <si>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</si>
  <si>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</si>
  <si>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</si>
  <si>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</si>
  <si>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</si>
  <si>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</si>
  <si>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</si>
  <si>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</si>
  <si>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</si>
  <si>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</si>
  <si>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</si>
  <si>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</si>
  <si>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</si>
  <si>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</si>
  <si>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</si>
  <si>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</si>
  <si>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</si>
  <si>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</si>
  <si>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</si>
  <si>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</si>
  <si>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</si>
  <si>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</si>
  <si>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</si>
  <si>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</si>
  <si>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</si>
  <si>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</si>
  <si>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</si>
  <si>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</si>
  <si>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</si>
  <si>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</si>
  <si>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</si>
  <si>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</si>
  <si>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</si>
  <si>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</si>
  <si>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</si>
  <si>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</si>
  <si>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</si>
  <si>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</si>
  <si>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</si>
  <si>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</si>
  <si>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</si>
  <si>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</si>
  <si>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</si>
  <si>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</si>
  <si>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</si>
  <si>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</si>
  <si>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</si>
  <si>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</si>
  <si>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</si>
  <si>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</si>
  <si>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</si>
  <si>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</si>
  <si>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</si>
  <si>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</si>
  <si>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</si>
  <si>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</si>
  <si>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</si>
  <si>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</si>
  <si>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</si>
  <si>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</si>
  <si>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</si>
  <si>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</si>
  <si>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</si>
  <si>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</si>
  <si>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</si>
  <si>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</si>
  <si>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</si>
  <si>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</si>
  <si>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</si>
  <si>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</si>
  <si>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</si>
  <si>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</si>
  <si>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</si>
  <si>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</si>
  <si>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</si>
  <si>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</si>
  <si>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</si>
  <si>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</si>
  <si>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</si>
  <si>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</si>
  <si>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</si>
  <si>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</si>
  <si>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</si>
  <si>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</si>
  <si>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</si>
  <si>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</si>
  <si>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</si>
  <si>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</si>
  <si>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</si>
  <si>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</si>
  <si>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</si>
  <si>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</si>
  <si>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</si>
  <si>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</si>
  <si>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</si>
  <si>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</si>
  <si>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</si>
  <si>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</si>
  <si>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</si>
  <si>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</si>
  <si>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</si>
  <si>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</si>
  <si>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</si>
  <si>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</si>
  <si>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</si>
  <si>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</si>
  <si>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</si>
  <si>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</si>
  <si>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</si>
  <si>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</si>
  <si>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</si>
  <si>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</si>
  <si>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</si>
  <si>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</si>
  <si>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</si>
  <si>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</si>
  <si>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</si>
  <si>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</si>
  <si>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</si>
  <si>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</si>
  <si>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</si>
  <si>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</si>
  <si>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</si>
  <si>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</si>
  <si>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</si>
  <si>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</si>
  <si>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</si>
  <si>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</si>
  <si>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</si>
  <si>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</si>
  <si>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</si>
  <si>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</si>
  <si>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</si>
  <si>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</si>
  <si>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</si>
  <si>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</si>
  <si>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</si>
  <si>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</si>
  <si>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</si>
  <si>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</si>
  <si>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</si>
  <si>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</si>
  <si>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</si>
  <si>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</si>
  <si>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</si>
  <si>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</si>
  <si>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</si>
  <si>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</si>
  <si>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</si>
  <si>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</si>
  <si>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</si>
  <si>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</si>
  <si>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</si>
  <si>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</si>
  <si>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</si>
  <si>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</si>
  <si>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</si>
  <si>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</si>
  <si>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</si>
  <si>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</si>
  <si>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</si>
  <si>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</si>
  <si>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</si>
  <si>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</si>
  <si>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</si>
  <si>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</si>
  <si>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</si>
  <si>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</si>
  <si>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</si>
  <si>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</si>
  <si>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</si>
  <si>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</si>
  <si>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</si>
  <si>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</si>
  <si>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</si>
  <si>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</si>
  <si>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</si>
  <si>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</si>
  <si>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</si>
  <si>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</si>
  <si>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</si>
  <si>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</si>
  <si>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</si>
  <si>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</si>
  <si>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</si>
  <si>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</si>
  <si>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</si>
  <si>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</si>
  <si>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</si>
  <si>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</si>
  <si>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</si>
  <si>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</si>
  <si>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</si>
  <si>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</si>
  <si>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</si>
  <si>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</si>
  <si>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</si>
  <si>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</si>
  <si>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</si>
  <si>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</si>
  <si>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</si>
  <si>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</si>
  <si>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</si>
  <si>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</si>
  <si>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</si>
  <si>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</si>
  <si>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</si>
  <si>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</si>
  <si>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</si>
  <si>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</si>
  <si>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</si>
  <si>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</si>
  <si>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</si>
  <si>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</si>
  <si>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</si>
  <si>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</si>
  <si>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</si>
  <si>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</si>
  <si>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</si>
  <si>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</si>
  <si>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</si>
  <si>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</si>
  <si>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</si>
  <si>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</si>
  <si>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</si>
  <si>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</si>
  <si>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</si>
  <si>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</si>
  <si>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</si>
  <si>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</si>
  <si>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</si>
  <si>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</si>
  <si>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</si>
  <si>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</si>
  <si>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</si>
  <si>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</si>
  <si>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</si>
  <si>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</si>
  <si>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</si>
  <si>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</si>
  <si>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</si>
  <si>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</si>
  <si>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</si>
  <si>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</si>
  <si>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</si>
  <si>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</si>
  <si>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</si>
  <si>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</si>
  <si>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</si>
  <si>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</si>
  <si>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</si>
  <si>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</si>
  <si>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</si>
  <si>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</si>
  <si>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</si>
  <si>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</si>
  <si>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</si>
  <si>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</si>
  <si>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</si>
  <si>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</si>
  <si>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</si>
  <si>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</si>
  <si>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</si>
  <si>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</si>
  <si>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</si>
  <si>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</si>
  <si>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</si>
  <si>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</si>
  <si>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</si>
  <si>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</si>
  <si>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</si>
  <si>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</si>
  <si>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</si>
  <si>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</si>
  <si>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</si>
  <si>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</si>
  <si>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</si>
  <si>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</si>
  <si>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</si>
  <si>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</si>
  <si>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</si>
  <si>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</si>
  <si>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</si>
  <si>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</si>
  <si>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</si>
  <si>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</si>
  <si>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</si>
  <si>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</si>
  <si>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</si>
  <si>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</si>
  <si>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</si>
  <si>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</si>
  <si>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</si>
  <si>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</si>
  <si>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</si>
  <si>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</si>
  <si>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</si>
  <si>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</si>
  <si>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</si>
  <si>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</si>
  <si>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</si>
  <si>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</si>
  <si>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</si>
  <si>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</si>
  <si>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</si>
  <si>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</si>
  <si>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</si>
  <si>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</si>
  <si>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</si>
  <si>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</si>
  <si>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</si>
  <si>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</si>
  <si>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</si>
  <si>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</si>
  <si>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</si>
  <si>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</si>
  <si>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</si>
  <si>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</si>
  <si>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</si>
  <si>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</si>
  <si>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</si>
  <si>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</si>
  <si>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</si>
  <si>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</si>
  <si>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</si>
  <si>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</si>
  <si>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</si>
  <si>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</si>
  <si>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</si>
  <si>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</si>
  <si>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</si>
  <si>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</si>
  <si>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</si>
  <si>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</si>
  <si>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</si>
  <si>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</si>
  <si>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</si>
  <si>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</si>
  <si>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</si>
  <si>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</si>
  <si>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</si>
  <si>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</si>
  <si>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</si>
  <si>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</si>
  <si>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</si>
  <si>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</si>
  <si>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</si>
  <si>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</si>
  <si>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</si>
  <si>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</si>
  <si>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</si>
  <si>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</si>
  <si>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</si>
  <si>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</si>
  <si>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</si>
  <si>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</si>
  <si>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3.1 Schedule of General Admin Expenses</t>
  </si>
  <si>
    <t>3.4 Tax Schedule</t>
  </si>
  <si>
    <t>5.1 Closing and Opening Stock Calculation</t>
  </si>
  <si>
    <t>5.2 Working Capital Calculation</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</si>
  <si>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</si>
  <si>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</si>
  <si>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</si>
  <si>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</si>
  <si>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</si>
  <si>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</si>
  <si>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</si>
  <si>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</si>
  <si>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</si>
  <si>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</si>
  <si>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</si>
  <si>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</si>
  <si>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</si>
  <si>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</si>
  <si>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</si>
  <si>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</si>
  <si>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</si>
  <si>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</si>
  <si>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</si>
  <si>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</si>
  <si>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</si>
  <si>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</si>
  <si>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</si>
  <si>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</si>
  <si>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</si>
  <si>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</si>
  <si>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</si>
  <si>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</si>
  <si>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</si>
  <si>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</si>
  <si>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</si>
  <si>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</si>
  <si>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</si>
  <si>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</si>
  <si>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</si>
  <si>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</si>
  <si>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</si>
  <si>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</si>
  <si>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</si>
  <si>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</si>
  <si>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</si>
  <si>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</si>
  <si>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</si>
  <si>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</si>
  <si>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</si>
  <si>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</si>
  <si>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</si>
  <si>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</si>
  <si>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</si>
  <si>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</si>
  <si>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</si>
  <si>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</si>
  <si>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</si>
  <si>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</si>
  <si>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</si>
  <si>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</si>
  <si>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</si>
  <si>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</si>
  <si>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</si>
  <si>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</si>
  <si>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</si>
  <si>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</si>
  <si>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</si>
  <si>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</si>
  <si>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</si>
  <si>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</si>
  <si>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</si>
  <si>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</si>
  <si>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</si>
  <si>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</si>
  <si>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</si>
  <si>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</si>
  <si>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</si>
  <si>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</si>
  <si>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</si>
  <si>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</si>
  <si>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</si>
  <si>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</si>
  <si>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</si>
  <si>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</si>
  <si>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</si>
  <si>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</si>
  <si>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</si>
  <si>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</si>
  <si>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</si>
  <si>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</si>
  <si>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</si>
  <si>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</si>
  <si>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</si>
  <si>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</si>
  <si>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</si>
  <si>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</si>
  <si>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</si>
  <si>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</si>
  <si>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</si>
  <si>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</si>
  <si>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</si>
  <si>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</si>
  <si>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</si>
  <si>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</si>
  <si>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</si>
  <si>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</si>
  <si>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</si>
  <si>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</si>
  <si>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</si>
  <si>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</si>
  <si>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</si>
  <si>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</si>
  <si>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</si>
  <si>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</si>
  <si>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</si>
  <si>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</si>
  <si>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</si>
  <si>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</si>
  <si>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</si>
  <si>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</si>
  <si>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</si>
  <si>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</si>
  <si>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</si>
  <si>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</si>
  <si>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</si>
  <si>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</si>
  <si>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</si>
  <si>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</si>
  <si>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Turmeric</t>
  </si>
  <si>
    <t>Channa</t>
  </si>
  <si>
    <t>Tur</t>
  </si>
  <si>
    <t>Office Furniture &amp; Fixtures</t>
  </si>
  <si>
    <t>Computer and IT Related Services</t>
  </si>
  <si>
    <t>MSEB Connection</t>
  </si>
  <si>
    <t>Land, Building, Shed and Warehouse</t>
  </si>
  <si>
    <t>Udid</t>
  </si>
  <si>
    <t>Moong</t>
  </si>
  <si>
    <t>Operating profit</t>
  </si>
  <si>
    <t>Facility 2 - Grain Processing Unit - Cleaning, Grading Unit</t>
  </si>
  <si>
    <t>13.2 Facility 2 - Profit and loss of Grain Processing Unit - Cleaning, Grading and Sorting Unit</t>
  </si>
  <si>
    <t>Trading Activity</t>
  </si>
  <si>
    <t>Cleaning, Grading &amp; Sorting</t>
  </si>
  <si>
    <t>Grain Processing-Cleaning, Grading &amp; Sorting</t>
  </si>
  <si>
    <t>Company has to give credit for sale at 30 Days</t>
  </si>
  <si>
    <t>Company will receive credit from suppliers for 30 days</t>
  </si>
  <si>
    <t>Faclitiy 1 - Trading Activity</t>
  </si>
  <si>
    <t>Faclitiy 2 - Processing Unit- Cleaning, Grading</t>
  </si>
  <si>
    <t>1 Kg</t>
  </si>
  <si>
    <t>Salaries to Staff</t>
  </si>
  <si>
    <t>Owned</t>
  </si>
  <si>
    <t>Groundnut</t>
  </si>
  <si>
    <t>5.2.2 Depreciation</t>
  </si>
  <si>
    <t>SECTION 5 SUB PROJECT BUDGET AND FINANCIAL ANALYSIS</t>
  </si>
  <si>
    <t>5.1 Total Project Cost</t>
  </si>
  <si>
    <t>5.1.2 Means of Finance</t>
  </si>
  <si>
    <t>5.2.1</t>
  </si>
  <si>
    <t>5.2.3 Amortization Schedule</t>
  </si>
  <si>
    <t xml:space="preserve">5.2.4 Repayment Schedule </t>
  </si>
  <si>
    <t>5.2.6 Consolidated Profit and loss account for the Project</t>
  </si>
  <si>
    <t>5.2.7 Cash Flow Statement for the Project</t>
  </si>
  <si>
    <t>5.2.8 Balancesheet  for the Project</t>
  </si>
  <si>
    <t>5.2.9 Financial Indicators</t>
  </si>
  <si>
    <t>OR 1 Tons/Per Hours</t>
  </si>
  <si>
    <t>Shed for Turmeric Unit</t>
  </si>
  <si>
    <t>AUTOMATIC TURMERIC POWDER MAKING MACHINE</t>
  </si>
  <si>
    <t>IGST@18</t>
  </si>
  <si>
    <t xml:space="preserve"> </t>
  </si>
  <si>
    <t>PACKING MACHINE</t>
  </si>
  <si>
    <t>LABELING MACHINE</t>
  </si>
  <si>
    <t>Paddy</t>
  </si>
  <si>
    <t>1000 MT</t>
  </si>
  <si>
    <t>2 TPH</t>
  </si>
  <si>
    <t>2TPH</t>
  </si>
  <si>
    <t>STRIGAVRAV CMRC, GONDIYA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</si>
</sst>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u/>
      <sz val="20"/>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48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0" fillId="2" borderId="1" xfId="0" applyFont="1" applyFill="1" applyBorder="1" applyAlignment="1">
      <alignment wrapText="1"/>
    </xf>
    <xf numFmtId="0" fontId="20"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2"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2" fillId="0" borderId="0" xfId="0" applyFont="1" applyBorder="1" applyAlignment="1"/>
    <xf numFmtId="0" fontId="23" fillId="5" borderId="1" xfId="0" applyFont="1" applyFill="1" applyBorder="1" applyAlignment="1">
      <alignment horizontal="left"/>
    </xf>
    <xf numFmtId="0" fontId="21"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6" fillId="0" borderId="0" xfId="0" applyFont="1"/>
    <xf numFmtId="0" fontId="26" fillId="0" borderId="1" xfId="0" applyFont="1" applyBorder="1"/>
    <xf numFmtId="170" fontId="26" fillId="0" borderId="1" xfId="2" applyNumberFormat="1" applyFont="1" applyBorder="1"/>
    <xf numFmtId="0" fontId="27" fillId="0" borderId="1" xfId="0" applyFont="1" applyBorder="1"/>
    <xf numFmtId="170" fontId="27" fillId="0" borderId="1" xfId="0" applyNumberFormat="1" applyFont="1" applyBorder="1"/>
    <xf numFmtId="0" fontId="26" fillId="0" borderId="1" xfId="0" applyFont="1" applyFill="1" applyBorder="1"/>
    <xf numFmtId="170" fontId="27" fillId="0" borderId="1" xfId="2" applyNumberFormat="1" applyFont="1" applyBorder="1" applyAlignment="1"/>
    <xf numFmtId="0" fontId="27" fillId="0" borderId="1" xfId="0" applyFont="1" applyFill="1" applyBorder="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164" fontId="26" fillId="0" borderId="0" xfId="0" applyNumberFormat="1" applyFont="1"/>
    <xf numFmtId="170" fontId="26" fillId="0" borderId="0" xfId="2" applyNumberFormat="1" applyFont="1"/>
    <xf numFmtId="0" fontId="23" fillId="5" borderId="1" xfId="0" applyFont="1" applyFill="1" applyBorder="1"/>
    <xf numFmtId="9" fontId="26" fillId="0" borderId="1" xfId="1" applyFont="1" applyBorder="1"/>
    <xf numFmtId="170"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Fill="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Fill="1" applyBorder="1" applyAlignment="1">
      <alignment vertical="center"/>
    </xf>
    <xf numFmtId="4" fontId="28" fillId="0" borderId="1" xfId="3" applyNumberFormat="1" applyFont="1" applyFill="1" applyBorder="1" applyAlignment="1">
      <alignment vertical="center"/>
    </xf>
    <xf numFmtId="0" fontId="29" fillId="0" borderId="5" xfId="0" applyFont="1" applyFill="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Fill="1" applyBorder="1" applyAlignment="1">
      <alignment horizontal="left" vertical="center"/>
    </xf>
    <xf numFmtId="0" fontId="29" fillId="0" borderId="5" xfId="0" applyFont="1" applyFill="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Fill="1" applyBorder="1" applyAlignment="1">
      <alignment vertical="center"/>
    </xf>
    <xf numFmtId="0" fontId="33" fillId="0" borderId="5" xfId="0" applyFont="1" applyFill="1" applyBorder="1" applyAlignment="1">
      <alignment vertical="center"/>
    </xf>
    <xf numFmtId="4" fontId="34" fillId="0" borderId="1" xfId="0" applyNumberFormat="1" applyFont="1" applyFill="1" applyBorder="1" applyAlignment="1">
      <alignment vertical="center"/>
    </xf>
    <xf numFmtId="0" fontId="35" fillId="0" borderId="5" xfId="0" applyFont="1" applyFill="1" applyBorder="1" applyAlignment="1">
      <alignment vertical="center"/>
    </xf>
    <xf numFmtId="4" fontId="35" fillId="0" borderId="1" xfId="9" applyNumberFormat="1" applyFont="1" applyFill="1" applyBorder="1" applyAlignment="1">
      <alignment vertical="center"/>
    </xf>
    <xf numFmtId="0" fontId="35" fillId="0" borderId="6" xfId="0" applyFont="1" applyFill="1" applyBorder="1" applyAlignment="1">
      <alignment vertical="center"/>
    </xf>
    <xf numFmtId="4" fontId="35" fillId="0" borderId="7" xfId="0" applyNumberFormat="1" applyFont="1" applyFill="1" applyBorder="1" applyAlignment="1">
      <alignment vertical="center"/>
    </xf>
    <xf numFmtId="0" fontId="20"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8" fillId="0" borderId="1" xfId="9" applyNumberFormat="1" applyFont="1" applyFill="1" applyBorder="1" applyAlignment="1">
      <alignment vertical="center"/>
    </xf>
    <xf numFmtId="173" fontId="29" fillId="0" borderId="1" xfId="9" applyNumberFormat="1" applyFont="1" applyFill="1" applyBorder="1" applyAlignment="1">
      <alignment vertic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168" fontId="23" fillId="5" borderId="1" xfId="3" applyNumberFormat="1" applyFont="1" applyFill="1" applyBorder="1" applyAlignment="1">
      <alignment horizontal="center"/>
    </xf>
    <xf numFmtId="0" fontId="29" fillId="0" borderId="1" xfId="0" applyFont="1" applyBorder="1" applyAlignment="1">
      <alignment vertical="center"/>
    </xf>
    <xf numFmtId="0" fontId="29" fillId="0" borderId="1" xfId="0" applyFont="1" applyBorder="1" applyAlignment="1">
      <alignment horizontal="center" vertical="center"/>
    </xf>
    <xf numFmtId="168" fontId="28" fillId="0" borderId="1" xfId="3" applyNumberFormat="1" applyFont="1" applyFill="1" applyBorder="1"/>
    <xf numFmtId="0" fontId="29" fillId="0" borderId="1" xfId="0" applyFont="1" applyBorder="1"/>
    <xf numFmtId="0" fontId="28" fillId="0" borderId="1" xfId="0" applyFont="1" applyBorder="1"/>
    <xf numFmtId="168" fontId="29" fillId="0" borderId="1" xfId="0" applyNumberFormat="1" applyFont="1" applyBorder="1"/>
    <xf numFmtId="0" fontId="6" fillId="2" borderId="1" xfId="0" applyFont="1" applyFill="1" applyBorder="1"/>
    <xf numFmtId="0" fontId="37" fillId="0" borderId="1" xfId="0" applyFont="1" applyFill="1" applyBorder="1"/>
    <xf numFmtId="0" fontId="38" fillId="0" borderId="1" xfId="0" applyFont="1" applyFill="1" applyBorder="1" applyAlignment="1">
      <alignment horizontal="center"/>
    </xf>
    <xf numFmtId="0" fontId="26" fillId="0" borderId="1" xfId="0" applyFont="1" applyFill="1" applyBorder="1" applyAlignment="1">
      <alignment horizontal="left"/>
    </xf>
    <xf numFmtId="0" fontId="6" fillId="0" borderId="1" xfId="0" applyFont="1" applyFill="1" applyBorder="1" applyAlignment="1">
      <alignment horizontal="left"/>
    </xf>
    <xf numFmtId="168" fontId="28" fillId="0" borderId="1" xfId="0" applyNumberFormat="1" applyFont="1" applyFill="1" applyBorder="1"/>
    <xf numFmtId="168" fontId="29" fillId="0" borderId="1" xfId="0" applyNumberFormat="1" applyFont="1" applyFill="1" applyBorder="1"/>
    <xf numFmtId="0" fontId="20" fillId="2" borderId="1" xfId="8" applyFont="1" applyFill="1" applyBorder="1" applyAlignment="1" applyProtection="1"/>
    <xf numFmtId="0" fontId="6" fillId="0" borderId="1" xfId="0" applyFont="1" applyFill="1" applyBorder="1" applyAlignment="1">
      <alignment horizontal="center"/>
    </xf>
    <xf numFmtId="0" fontId="26" fillId="0" borderId="0" xfId="0" applyFont="1" applyAlignment="1">
      <alignment horizontal="left"/>
    </xf>
    <xf numFmtId="168" fontId="28"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6" fillId="0" borderId="0" xfId="0" applyNumberFormat="1" applyFont="1" applyBorder="1"/>
    <xf numFmtId="0" fontId="26" fillId="0" borderId="0" xfId="0" applyFont="1" applyFill="1" applyBorder="1" applyAlignment="1">
      <alignment wrapText="1"/>
    </xf>
    <xf numFmtId="9" fontId="26" fillId="0" borderId="0" xfId="0" applyNumberFormat="1" applyFont="1"/>
    <xf numFmtId="10" fontId="4" fillId="0" borderId="0" xfId="1" applyNumberFormat="1" applyFont="1" applyBorder="1"/>
    <xf numFmtId="9" fontId="26" fillId="0" borderId="0" xfId="0" applyNumberFormat="1" applyFont="1" applyBorder="1"/>
    <xf numFmtId="9" fontId="26" fillId="0" borderId="0" xfId="0" applyNumberFormat="1" applyFont="1" applyFill="1" applyBorder="1"/>
    <xf numFmtId="9" fontId="26" fillId="0" borderId="0" xfId="1" applyFont="1"/>
    <xf numFmtId="10" fontId="26" fillId="0" borderId="0" xfId="0" applyNumberFormat="1" applyFont="1"/>
    <xf numFmtId="166" fontId="26" fillId="0" borderId="0" xfId="0" applyNumberFormat="1" applyFont="1" applyBorder="1"/>
    <xf numFmtId="0" fontId="26" fillId="0" borderId="0" xfId="0" applyFont="1" applyBorder="1"/>
    <xf numFmtId="0" fontId="26" fillId="0" borderId="0" xfId="0" applyFont="1" applyFill="1" applyBorder="1"/>
    <xf numFmtId="43" fontId="26" fillId="0" borderId="0" xfId="0" applyNumberFormat="1" applyFont="1" applyBorder="1"/>
    <xf numFmtId="1" fontId="26" fillId="0" borderId="0" xfId="0" applyNumberFormat="1" applyFont="1" applyBorder="1"/>
    <xf numFmtId="9" fontId="26" fillId="0" borderId="1" xfId="0" applyNumberFormat="1" applyFont="1" applyBorder="1"/>
    <xf numFmtId="43"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70" fontId="26" fillId="0" borderId="1" xfId="2" applyNumberFormat="1" applyFont="1" applyFill="1" applyBorder="1"/>
    <xf numFmtId="0" fontId="27" fillId="0" borderId="1" xfId="0" applyFont="1" applyBorder="1" applyAlignment="1">
      <alignment wrapText="1"/>
    </xf>
    <xf numFmtId="0" fontId="27" fillId="0" borderId="0" xfId="0" applyFont="1" applyBorder="1" applyAlignment="1">
      <alignment horizontal="center"/>
    </xf>
    <xf numFmtId="9" fontId="27" fillId="0" borderId="0" xfId="0" applyNumberFormat="1" applyFont="1" applyBorder="1" applyAlignment="1">
      <alignment horizontal="center"/>
    </xf>
    <xf numFmtId="10" fontId="27" fillId="0" borderId="0" xfId="0" applyNumberFormat="1" applyFont="1" applyBorder="1" applyAlignment="1">
      <alignment horizontal="center"/>
    </xf>
    <xf numFmtId="168" fontId="26" fillId="0" borderId="1" xfId="0" applyNumberFormat="1" applyFont="1" applyBorder="1"/>
    <xf numFmtId="168" fontId="27" fillId="0" borderId="1" xfId="3" applyNumberFormat="1" applyFont="1" applyBorder="1"/>
    <xf numFmtId="168" fontId="27" fillId="0" borderId="1" xfId="0" applyNumberFormat="1" applyFont="1" applyBorder="1"/>
    <xf numFmtId="170" fontId="26" fillId="0" borderId="1" xfId="0" applyNumberFormat="1" applyFont="1" applyBorder="1"/>
    <xf numFmtId="43" fontId="26" fillId="0" borderId="0" xfId="0" applyNumberFormat="1" applyFont="1"/>
    <xf numFmtId="168" fontId="26" fillId="0" borderId="1" xfId="3" applyNumberFormat="1" applyFont="1" applyFill="1" applyBorder="1"/>
    <xf numFmtId="168" fontId="26" fillId="0" borderId="1" xfId="0" applyNumberFormat="1" applyFont="1" applyFill="1" applyBorder="1"/>
    <xf numFmtId="168" fontId="26" fillId="0" borderId="0" xfId="0" applyNumberFormat="1" applyFont="1"/>
    <xf numFmtId="170" fontId="26" fillId="0" borderId="16" xfId="2" applyNumberFormat="1" applyFont="1" applyBorder="1"/>
    <xf numFmtId="170" fontId="27" fillId="0" borderId="1" xfId="2" applyNumberFormat="1" applyFont="1" applyBorder="1" applyAlignment="1">
      <alignment wrapText="1"/>
    </xf>
    <xf numFmtId="0" fontId="25" fillId="0" borderId="0" xfId="0" applyFont="1" applyAlignment="1"/>
    <xf numFmtId="167"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40" fillId="0" borderId="1" xfId="0" applyFont="1" applyBorder="1" applyAlignment="1">
      <alignment horizontal="right" vertical="center" wrapText="1"/>
    </xf>
    <xf numFmtId="168" fontId="41" fillId="0" borderId="1" xfId="3" applyNumberFormat="1" applyFont="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170" fontId="28" fillId="0" borderId="1" xfId="2"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Fill="1" applyBorder="1" applyAlignment="1">
      <alignment vertical="center" wrapText="1"/>
    </xf>
    <xf numFmtId="170" fontId="40" fillId="0" borderId="1" xfId="2" applyNumberFormat="1" applyFont="1" applyFill="1" applyBorder="1" applyAlignment="1">
      <alignment horizontal="right" vertical="center" wrapText="1"/>
    </xf>
    <xf numFmtId="0" fontId="40"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39" fillId="2" borderId="8" xfId="0" applyFont="1" applyFill="1" applyBorder="1" applyAlignment="1">
      <alignment vertical="center" wrapText="1"/>
    </xf>
    <xf numFmtId="0" fontId="39" fillId="2" borderId="4" xfId="0" applyFont="1" applyFill="1" applyBorder="1" applyAlignment="1">
      <alignment horizontal="center" vertical="center" wrapText="1"/>
    </xf>
    <xf numFmtId="168" fontId="41" fillId="0" borderId="1" xfId="3" applyNumberFormat="1" applyFont="1" applyFill="1" applyBorder="1" applyAlignment="1">
      <alignment horizontal="right" vertical="center" wrapText="1"/>
    </xf>
    <xf numFmtId="168" fontId="27" fillId="0" borderId="1" xfId="3" applyNumberFormat="1" applyFont="1" applyBorder="1" applyAlignment="1">
      <alignment horizontal="right" vertical="center" wrapText="1"/>
    </xf>
    <xf numFmtId="0" fontId="26" fillId="6" borderId="1" xfId="0" applyFont="1" applyFill="1" applyBorder="1"/>
    <xf numFmtId="168" fontId="40" fillId="6" borderId="1" xfId="3" applyNumberFormat="1" applyFont="1" applyFill="1" applyBorder="1" applyAlignment="1">
      <alignment horizontal="right" vertical="center" wrapText="1"/>
    </xf>
    <xf numFmtId="0" fontId="41" fillId="6" borderId="1" xfId="0" applyFont="1" applyFill="1" applyBorder="1" applyAlignment="1">
      <alignment vertical="center" wrapText="1"/>
    </xf>
    <xf numFmtId="0" fontId="41" fillId="6" borderId="1" xfId="0" applyFont="1" applyFill="1" applyBorder="1" applyAlignment="1">
      <alignment horizontal="center" vertical="center" wrapText="1"/>
    </xf>
    <xf numFmtId="170" fontId="41"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0" fillId="6" borderId="1" xfId="0" applyFont="1" applyFill="1" applyBorder="1" applyAlignment="1">
      <alignment horizontal="center" vertical="center" wrapText="1"/>
    </xf>
    <xf numFmtId="0" fontId="40" fillId="6" borderId="1" xfId="0" applyFont="1" applyFill="1" applyBorder="1" applyAlignment="1">
      <alignment vertical="center" wrapText="1"/>
    </xf>
    <xf numFmtId="0" fontId="41"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70" fontId="26" fillId="6" borderId="1" xfId="2" applyNumberFormat="1" applyFont="1" applyFill="1" applyBorder="1"/>
    <xf numFmtId="0" fontId="26" fillId="6" borderId="1" xfId="0" applyFont="1" applyFill="1" applyBorder="1" applyAlignment="1">
      <alignment wrapText="1"/>
    </xf>
    <xf numFmtId="170" fontId="26" fillId="6" borderId="1" xfId="2" applyNumberFormat="1" applyFont="1" applyFill="1" applyBorder="1" applyAlignment="1">
      <alignment wrapText="1"/>
    </xf>
    <xf numFmtId="170" fontId="27" fillId="6" borderId="1" xfId="2" applyNumberFormat="1" applyFont="1" applyFill="1" applyBorder="1"/>
    <xf numFmtId="166" fontId="26" fillId="6" borderId="0" xfId="0" applyNumberFormat="1" applyFont="1" applyFill="1" applyBorder="1"/>
    <xf numFmtId="0" fontId="41" fillId="0" borderId="1" xfId="0" applyFont="1" applyBorder="1" applyAlignment="1">
      <alignment horizontal="center" vertical="center" wrapText="1"/>
    </xf>
    <xf numFmtId="174" fontId="26" fillId="0" borderId="0" xfId="0" applyNumberFormat="1" applyFont="1"/>
    <xf numFmtId="170" fontId="0" fillId="0" borderId="1" xfId="0" applyNumberFormat="1" applyFon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7" fillId="0" borderId="0" xfId="0" applyFont="1" applyBorder="1"/>
    <xf numFmtId="170" fontId="27" fillId="0" borderId="0" xfId="2" applyNumberFormat="1" applyFont="1" applyBorder="1"/>
    <xf numFmtId="0" fontId="40"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NumberFormat="1" applyFont="1" applyFill="1"/>
    <xf numFmtId="9" fontId="26" fillId="7" borderId="1" xfId="0" applyNumberFormat="1" applyFont="1" applyFill="1" applyBorder="1"/>
    <xf numFmtId="0" fontId="26" fillId="7" borderId="0" xfId="0" applyFont="1" applyFill="1"/>
    <xf numFmtId="0" fontId="27" fillId="7" borderId="1" xfId="0" applyFont="1" applyFill="1" applyBorder="1"/>
    <xf numFmtId="168" fontId="27" fillId="7" borderId="1" xfId="3" applyNumberFormat="1" applyFont="1" applyFill="1" applyBorder="1"/>
    <xf numFmtId="9" fontId="14" fillId="7" borderId="0" xfId="1" applyFont="1" applyFill="1" applyBorder="1"/>
    <xf numFmtId="9" fontId="41"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4"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6" fillId="0" borderId="1" xfId="0" applyFont="1" applyFill="1" applyBorder="1" applyAlignment="1">
      <alignment wrapText="1"/>
    </xf>
    <xf numFmtId="168" fontId="26" fillId="0" borderId="1" xfId="1" applyNumberFormat="1" applyFont="1" applyBorder="1"/>
    <xf numFmtId="43" fontId="26" fillId="0" borderId="1" xfId="0" applyNumberFormat="1" applyFont="1" applyFill="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6" fillId="0" borderId="0" xfId="2" applyNumberFormat="1" applyFont="1" applyBorder="1"/>
    <xf numFmtId="0" fontId="53" fillId="5" borderId="1" xfId="0" applyFont="1" applyFill="1" applyBorder="1" applyAlignment="1">
      <alignment horizontal="center"/>
    </xf>
    <xf numFmtId="0" fontId="5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6"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39" fillId="2" borderId="1" xfId="0" applyFont="1" applyFill="1" applyBorder="1" applyAlignment="1">
      <alignment horizontal="center" vertical="center" wrapText="1"/>
    </xf>
    <xf numFmtId="0" fontId="27" fillId="0" borderId="0" xfId="0" applyFont="1" applyAlignment="1">
      <alignment horizontal="center"/>
    </xf>
    <xf numFmtId="9" fontId="0" fillId="0" borderId="1" xfId="0" applyNumberFormat="1" applyBorder="1"/>
    <xf numFmtId="0" fontId="26" fillId="7" borderId="1" xfId="0" applyFont="1" applyFill="1" applyBorder="1"/>
    <xf numFmtId="9" fontId="26"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7"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6" fillId="0" borderId="1" xfId="0" applyNumberFormat="1" applyFont="1" applyBorder="1"/>
    <xf numFmtId="0" fontId="51" fillId="0" borderId="0" xfId="0" applyFont="1" applyAlignment="1"/>
    <xf numFmtId="0" fontId="29" fillId="5" borderId="1" xfId="0" applyFont="1" applyFill="1" applyBorder="1"/>
    <xf numFmtId="9" fontId="57" fillId="7" borderId="1" xfId="0" applyNumberFormat="1" applyFont="1" applyFill="1" applyBorder="1"/>
    <xf numFmtId="171" fontId="57" fillId="7" borderId="1" xfId="0" applyNumberFormat="1" applyFont="1" applyFill="1" applyBorder="1"/>
    <xf numFmtId="0" fontId="56" fillId="0" borderId="0" xfId="0" applyFont="1" applyAlignment="1"/>
    <xf numFmtId="172" fontId="27" fillId="6" borderId="1" xfId="0" applyNumberFormat="1"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168" fontId="43" fillId="0" borderId="1" xfId="3" applyNumberFormat="1" applyFont="1" applyFill="1" applyBorder="1" applyAlignment="1">
      <alignment horizontal="right" vertical="center" wrapText="1"/>
    </xf>
    <xf numFmtId="168" fontId="58" fillId="0" borderId="1" xfId="3" applyNumberFormat="1" applyFont="1" applyBorder="1" applyAlignment="1">
      <alignment horizontal="right" vertical="center" wrapText="1"/>
    </xf>
    <xf numFmtId="0" fontId="42" fillId="2" borderId="22" xfId="0" applyFont="1" applyFill="1" applyBorder="1" applyAlignment="1">
      <alignment horizontal="center" vertical="center" wrapText="1"/>
    </xf>
    <xf numFmtId="170" fontId="43" fillId="0" borderId="1" xfId="2" applyNumberFormat="1" applyFont="1" applyBorder="1" applyAlignment="1">
      <alignment vertical="center" wrapText="1"/>
    </xf>
    <xf numFmtId="9" fontId="59" fillId="7" borderId="1" xfId="0" applyNumberFormat="1" applyFont="1" applyFill="1" applyBorder="1"/>
    <xf numFmtId="170" fontId="59" fillId="0" borderId="1" xfId="0" applyNumberFormat="1" applyFont="1" applyBorder="1"/>
    <xf numFmtId="0" fontId="59" fillId="0" borderId="1" xfId="0" applyFont="1" applyBorder="1"/>
    <xf numFmtId="170" fontId="58" fillId="0" borderId="1" xfId="2" applyNumberFormat="1" applyFont="1" applyBorder="1" applyAlignment="1">
      <alignment horizontal="center" vertical="center" wrapText="1"/>
    </xf>
    <xf numFmtId="0" fontId="42" fillId="5" borderId="1" xfId="0" applyFont="1" applyFill="1" applyBorder="1" applyAlignment="1">
      <alignment vertical="center" wrapText="1"/>
    </xf>
    <xf numFmtId="0" fontId="42" fillId="5" borderId="1" xfId="0" applyFont="1" applyFill="1" applyBorder="1" applyAlignment="1">
      <alignment vertical="center"/>
    </xf>
    <xf numFmtId="0" fontId="42"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10" fontId="43" fillId="0" borderId="1" xfId="1"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3" fillId="0" borderId="1" xfId="0" applyFont="1" applyFill="1" applyBorder="1" applyAlignment="1">
      <alignment horizontal="left" vertical="center" wrapText="1"/>
    </xf>
    <xf numFmtId="166" fontId="28"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1" fillId="5" borderId="11" xfId="0" applyFont="1" applyFill="1" applyBorder="1" applyAlignment="1">
      <alignment horizontal="center"/>
    </xf>
    <xf numFmtId="0" fontId="0" fillId="0" borderId="1" xfId="0" applyNumberFormat="1" applyFill="1" applyBorder="1"/>
    <xf numFmtId="9" fontId="43"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3" fillId="0" borderId="1" xfId="3" applyNumberFormat="1" applyFont="1" applyFill="1" applyBorder="1" applyAlignment="1">
      <alignment horizontal="right" vertical="center" wrapText="1"/>
    </xf>
    <xf numFmtId="0" fontId="28" fillId="0" borderId="1" xfId="0" applyFont="1" applyFill="1" applyBorder="1" applyAlignment="1">
      <alignment vertical="center" wrapText="1"/>
    </xf>
    <xf numFmtId="0" fontId="26" fillId="0" borderId="1" xfId="0" applyFont="1" applyFill="1" applyBorder="1" applyAlignment="1">
      <alignment vertical="center" wrapText="1"/>
    </xf>
    <xf numFmtId="170" fontId="28" fillId="0" borderId="1" xfId="2" applyNumberFormat="1" applyFont="1" applyFill="1" applyBorder="1" applyAlignment="1">
      <alignment horizontal="left" vertical="center" wrapText="1"/>
    </xf>
    <xf numFmtId="170" fontId="28" fillId="0" borderId="1" xfId="2" applyNumberFormat="1" applyFont="1" applyFill="1" applyBorder="1" applyAlignment="1">
      <alignment vertical="center" wrapText="1"/>
    </xf>
    <xf numFmtId="170" fontId="28" fillId="0" borderId="1" xfId="2"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168" fontId="40" fillId="0" borderId="1" xfId="3"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168" fontId="12" fillId="0" borderId="1" xfId="3" applyNumberFormat="1" applyFont="1" applyFill="1" applyBorder="1" applyAlignment="1">
      <alignment horizontal="center" vertical="center" wrapText="1"/>
    </xf>
    <xf numFmtId="168" fontId="12" fillId="0" borderId="1" xfId="3" applyNumberFormat="1" applyFont="1" applyFill="1" applyBorder="1" applyAlignment="1">
      <alignment horizontal="right" vertical="center" wrapText="1"/>
    </xf>
    <xf numFmtId="168" fontId="40" fillId="0" borderId="1" xfId="3" applyNumberFormat="1" applyFont="1" applyFill="1" applyBorder="1" applyAlignment="1">
      <alignment horizontal="center" vertical="center" wrapText="1"/>
    </xf>
    <xf numFmtId="0" fontId="40" fillId="0" borderId="9" xfId="0" applyFont="1" applyFill="1" applyBorder="1" applyAlignment="1">
      <alignment horizontal="right" vertical="center" wrapText="1"/>
    </xf>
    <xf numFmtId="0" fontId="40" fillId="0" borderId="10" xfId="0" applyFont="1" applyFill="1" applyBorder="1" applyAlignment="1">
      <alignment vertical="center" wrapText="1"/>
    </xf>
    <xf numFmtId="168" fontId="41" fillId="0" borderId="10" xfId="3" applyNumberFormat="1" applyFont="1" applyFill="1" applyBorder="1" applyAlignment="1">
      <alignment horizontal="right" vertical="center" wrapText="1"/>
    </xf>
    <xf numFmtId="0" fontId="67" fillId="0" borderId="0" xfId="0" applyFont="1"/>
    <xf numFmtId="0" fontId="28" fillId="0" borderId="1" xfId="0" applyFont="1" applyFill="1" applyBorder="1" applyAlignment="1">
      <alignment horizontal="right" vertical="center" wrapText="1"/>
    </xf>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0"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2" fillId="5" borderId="12"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58" fillId="0" borderId="1" xfId="0" applyFont="1" applyBorder="1" applyAlignment="1">
      <alignment horizontal="center" vertical="center" wrapText="1"/>
    </xf>
    <xf numFmtId="0" fontId="25" fillId="0" borderId="0" xfId="0" applyFont="1" applyAlignment="1">
      <alignment horizontal="center"/>
    </xf>
    <xf numFmtId="0" fontId="2" fillId="0" borderId="0" xfId="0" applyFont="1" applyAlignment="1">
      <alignment horizontal="center"/>
    </xf>
    <xf numFmtId="0" fontId="50" fillId="0" borderId="0" xfId="0" applyFont="1" applyAlignment="1">
      <alignment horizontal="center" wrapText="1"/>
    </xf>
    <xf numFmtId="0" fontId="25" fillId="0" borderId="0" xfId="0" applyFont="1" applyBorder="1" applyAlignment="1">
      <alignment horizontal="center"/>
    </xf>
    <xf numFmtId="0" fontId="9" fillId="0" borderId="0" xfId="0" applyFont="1" applyAlignment="1">
      <alignment horizontal="center"/>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52" fillId="0" borderId="0" xfId="0" applyFont="1" applyAlignment="1">
      <alignment horizontal="center" wrapText="1"/>
    </xf>
    <xf numFmtId="0" fontId="41" fillId="6"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41" fillId="6" borderId="15"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36"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7" fillId="0" borderId="13" xfId="0" applyFont="1" applyBorder="1" applyAlignment="1">
      <alignment horizontal="center"/>
    </xf>
    <xf numFmtId="0" fontId="2" fillId="0" borderId="13" xfId="0" applyFont="1" applyBorder="1" applyAlignment="1">
      <alignment horizontal="center"/>
    </xf>
    <xf numFmtId="0" fontId="25" fillId="0" borderId="19" xfId="0" applyFont="1" applyBorder="1" applyAlignment="1">
      <alignment horizontal="center"/>
    </xf>
    <xf numFmtId="0" fontId="2" fillId="0" borderId="0" xfId="0" applyFont="1" applyAlignment="1">
      <alignment horizont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49" fillId="0" borderId="0" xfId="0" applyFont="1" applyAlignment="1">
      <alignment horizontal="center" wrapText="1"/>
    </xf>
    <xf numFmtId="0" fontId="48" fillId="0" borderId="0" xfId="0" applyFont="1" applyAlignment="1">
      <alignment horizontal="center" wrapText="1"/>
    </xf>
    <xf numFmtId="0" fontId="39" fillId="2" borderId="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45" fillId="0" borderId="0" xfId="0" applyFont="1" applyAlignment="1">
      <alignment horizontal="center" wrapText="1"/>
    </xf>
    <xf numFmtId="0" fontId="25" fillId="0" borderId="17" xfId="0" applyFont="1" applyBorder="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6" fillId="0" borderId="0" xfId="0" applyFont="1" applyAlignment="1">
      <alignment horizontal="center" wrapText="1"/>
    </xf>
    <xf numFmtId="0" fontId="24" fillId="0" borderId="12" xfId="0" applyFont="1" applyFill="1" applyBorder="1" applyAlignment="1">
      <alignment horizontal="center"/>
    </xf>
    <xf numFmtId="0" fontId="24" fillId="0" borderId="13" xfId="0" applyFont="1" applyFill="1" applyBorder="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2"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24"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25"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6" fillId="0" borderId="15" xfId="0" applyFont="1" applyFill="1" applyBorder="1" applyAlignment="1">
      <alignment horizontal="center"/>
    </xf>
    <xf numFmtId="0" fontId="36" fillId="0" borderId="21" xfId="0" applyFont="1" applyFill="1" applyBorder="1" applyAlignment="1">
      <alignment horizontal="center"/>
    </xf>
    <xf numFmtId="0" fontId="36" fillId="0" borderId="16" xfId="0" applyFont="1" applyFill="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5"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GST@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sqref="A1:E1"/>
    </sheetView>
  </sheetViews>
  <sheetFormatPr defaultColWidth="9.140625" defaultRowHeight="15"/>
  <cols>
    <col min="1" max="1" width="12.85546875" style="358" customWidth="1"/>
    <col min="2" max="2" width="56" style="358" customWidth="1"/>
    <col min="3" max="3" width="26.28515625" style="358" customWidth="1"/>
    <col min="4" max="4" width="20.7109375" style="358" customWidth="1"/>
    <col min="5" max="5" width="29.42578125" style="358" customWidth="1"/>
    <col min="6" max="16384" width="9.140625" style="358"/>
  </cols>
  <sheetData>
    <row r="1" spans="1:5" ht="26.25" customHeight="1">
      <c r="A1" s="392" t="s">
        <v>636</v>
      </c>
      <c r="B1" s="392"/>
      <c r="C1" s="392"/>
      <c r="D1" s="392"/>
      <c r="E1" s="392"/>
    </row>
    <row r="2" spans="1:5" ht="26.25" customHeight="1">
      <c r="A2" s="393" t="s">
        <v>632</v>
      </c>
      <c r="B2" s="393"/>
      <c r="C2" s="393"/>
      <c r="D2" s="393"/>
      <c r="E2" s="393"/>
    </row>
    <row r="3" spans="1:5" ht="23.25" customHeight="1">
      <c r="A3" s="394" t="s">
        <v>603</v>
      </c>
      <c r="B3" s="394"/>
      <c r="C3" s="394"/>
      <c r="D3" s="394"/>
      <c r="E3" s="394"/>
    </row>
    <row r="4" spans="1:5" ht="240.75" customHeight="1">
      <c r="A4" s="395" t="s">
        <v>637</v>
      </c>
      <c r="B4" s="395"/>
      <c r="C4" s="395"/>
      <c r="D4" s="395"/>
      <c r="E4" s="395"/>
    </row>
    <row r="5" spans="1:5" ht="23.25" customHeight="1">
      <c r="A5" s="394" t="s">
        <v>604</v>
      </c>
      <c r="B5" s="394"/>
      <c r="C5" s="394"/>
      <c r="D5" s="394"/>
      <c r="E5" s="394"/>
    </row>
    <row r="6" spans="1:5" ht="108" customHeight="1">
      <c r="A6" s="402" t="s">
        <v>675</v>
      </c>
      <c r="B6" s="403"/>
      <c r="C6" s="403"/>
      <c r="D6" s="403"/>
      <c r="E6" s="404"/>
    </row>
    <row r="7" spans="1:5" ht="23.25" customHeight="1">
      <c r="A7" s="405" t="s">
        <v>638</v>
      </c>
      <c r="B7" s="405"/>
      <c r="C7" s="405"/>
      <c r="D7" s="405"/>
      <c r="E7" s="405"/>
    </row>
    <row r="8" spans="1:5" ht="125.25" customHeight="1">
      <c r="A8" s="395" t="s">
        <v>674</v>
      </c>
      <c r="B8" s="395"/>
      <c r="C8" s="395"/>
      <c r="D8" s="395"/>
      <c r="E8" s="395"/>
    </row>
    <row r="9" spans="1:5" ht="23.25">
      <c r="A9" s="394" t="s">
        <v>629</v>
      </c>
      <c r="B9" s="394"/>
      <c r="C9" s="394"/>
      <c r="D9" s="394"/>
      <c r="E9" s="394"/>
    </row>
    <row r="10" spans="1:5">
      <c r="A10" s="358" t="s">
        <v>605</v>
      </c>
      <c r="B10" s="358" t="s">
        <v>149</v>
      </c>
    </row>
    <row r="11" spans="1:5" ht="20.25" customHeight="1">
      <c r="A11" s="362"/>
      <c r="B11" s="406" t="s">
        <v>404</v>
      </c>
      <c r="C11" s="407"/>
      <c r="D11" s="407"/>
      <c r="E11" s="408"/>
    </row>
    <row r="12" spans="1:5">
      <c r="A12" s="363"/>
      <c r="B12" s="396" t="s">
        <v>405</v>
      </c>
      <c r="C12" s="396"/>
      <c r="D12" s="396"/>
      <c r="E12" s="396"/>
    </row>
    <row r="13" spans="1:5" s="367" customFormat="1">
      <c r="A13" s="397"/>
      <c r="B13" s="397"/>
      <c r="C13" s="397"/>
      <c r="D13" s="397"/>
      <c r="E13" s="398"/>
    </row>
    <row r="14" spans="1:5" ht="23.25">
      <c r="A14" s="394" t="s">
        <v>630</v>
      </c>
      <c r="B14" s="394"/>
      <c r="C14" s="394"/>
      <c r="D14" s="394"/>
      <c r="E14" s="394"/>
    </row>
    <row r="15" spans="1:5">
      <c r="A15" s="359" t="s">
        <v>601</v>
      </c>
      <c r="B15" s="359" t="s">
        <v>639</v>
      </c>
      <c r="C15" s="359" t="s">
        <v>457</v>
      </c>
      <c r="D15" s="359" t="s">
        <v>609</v>
      </c>
      <c r="E15" s="359" t="s">
        <v>602</v>
      </c>
    </row>
    <row r="16" spans="1:5">
      <c r="A16" s="368" t="s">
        <v>171</v>
      </c>
      <c r="B16" s="368" t="s">
        <v>640</v>
      </c>
      <c r="C16" s="368"/>
      <c r="D16" s="368"/>
      <c r="E16" s="368"/>
    </row>
    <row r="17" spans="1:5" ht="60">
      <c r="A17" s="369" t="s">
        <v>619</v>
      </c>
      <c r="B17" s="360" t="s">
        <v>626</v>
      </c>
      <c r="C17" s="360" t="s">
        <v>671</v>
      </c>
      <c r="D17" s="360" t="s">
        <v>641</v>
      </c>
      <c r="E17" s="360"/>
    </row>
    <row r="18" spans="1:5" ht="90">
      <c r="A18" s="369" t="s">
        <v>620</v>
      </c>
      <c r="B18" s="360" t="s">
        <v>606</v>
      </c>
      <c r="C18" s="360" t="s">
        <v>672</v>
      </c>
      <c r="D18" s="360" t="s">
        <v>642</v>
      </c>
      <c r="E18" s="360"/>
    </row>
    <row r="19" spans="1:5" ht="26.25" customHeight="1">
      <c r="A19" s="369" t="s">
        <v>621</v>
      </c>
      <c r="B19" s="361" t="s">
        <v>633</v>
      </c>
      <c r="C19" s="360" t="s">
        <v>643</v>
      </c>
      <c r="D19" s="360" t="s">
        <v>644</v>
      </c>
      <c r="E19" s="360" t="s">
        <v>631</v>
      </c>
    </row>
    <row r="20" spans="1:5" ht="30">
      <c r="A20" s="369" t="s">
        <v>622</v>
      </c>
      <c r="B20" s="360" t="s">
        <v>673</v>
      </c>
      <c r="C20" s="360"/>
      <c r="D20" s="360"/>
      <c r="E20" s="360"/>
    </row>
    <row r="21" spans="1:5">
      <c r="A21" s="360">
        <v>4.0999999999999996</v>
      </c>
      <c r="B21" s="360" t="s">
        <v>613</v>
      </c>
      <c r="C21" s="399" t="s">
        <v>645</v>
      </c>
      <c r="D21" s="360" t="s">
        <v>646</v>
      </c>
      <c r="E21" s="360"/>
    </row>
    <row r="22" spans="1:5" ht="30">
      <c r="A22" s="360">
        <v>4.2</v>
      </c>
      <c r="B22" s="360" t="s">
        <v>617</v>
      </c>
      <c r="C22" s="400"/>
      <c r="D22" s="360" t="s">
        <v>647</v>
      </c>
      <c r="E22" s="360"/>
    </row>
    <row r="23" spans="1:5">
      <c r="A23" s="360">
        <v>4.3</v>
      </c>
      <c r="B23" s="360" t="s">
        <v>614</v>
      </c>
      <c r="C23" s="400"/>
      <c r="D23" s="360" t="s">
        <v>648</v>
      </c>
      <c r="E23" s="360"/>
    </row>
    <row r="24" spans="1:5">
      <c r="A24" s="360">
        <v>4.4000000000000004</v>
      </c>
      <c r="B24" s="360" t="s">
        <v>615</v>
      </c>
      <c r="C24" s="400"/>
      <c r="D24" s="360" t="s">
        <v>649</v>
      </c>
      <c r="E24" s="360"/>
    </row>
    <row r="25" spans="1:5">
      <c r="A25" s="360">
        <v>4.5</v>
      </c>
      <c r="B25" s="360" t="s">
        <v>616</v>
      </c>
      <c r="C25" s="400"/>
      <c r="D25" s="360" t="s">
        <v>650</v>
      </c>
      <c r="E25" s="360"/>
    </row>
    <row r="26" spans="1:5">
      <c r="A26" s="360">
        <v>4.5999999999999996</v>
      </c>
      <c r="B26" s="360" t="s">
        <v>618</v>
      </c>
      <c r="C26" s="401"/>
      <c r="D26" s="360" t="s">
        <v>651</v>
      </c>
      <c r="E26" s="360"/>
    </row>
    <row r="27" spans="1:5" ht="45">
      <c r="A27" s="369" t="s">
        <v>623</v>
      </c>
      <c r="B27" s="360" t="s">
        <v>607</v>
      </c>
      <c r="C27" s="360" t="s">
        <v>652</v>
      </c>
      <c r="D27" s="360" t="s">
        <v>677</v>
      </c>
      <c r="E27" s="360"/>
    </row>
    <row r="28" spans="1:5" ht="60">
      <c r="A28" s="369" t="s">
        <v>624</v>
      </c>
      <c r="B28" s="360" t="s">
        <v>653</v>
      </c>
      <c r="C28" s="360" t="s">
        <v>654</v>
      </c>
      <c r="D28" s="360" t="s">
        <v>655</v>
      </c>
      <c r="E28" s="360"/>
    </row>
    <row r="29" spans="1:5" ht="45">
      <c r="A29" s="369" t="s">
        <v>625</v>
      </c>
      <c r="B29" s="360" t="s">
        <v>608</v>
      </c>
      <c r="C29" s="360" t="s">
        <v>656</v>
      </c>
      <c r="D29" s="360" t="s">
        <v>657</v>
      </c>
      <c r="E29" s="360"/>
    </row>
    <row r="30" spans="1:5">
      <c r="A30" s="368" t="s">
        <v>172</v>
      </c>
      <c r="B30" s="370" t="s">
        <v>658</v>
      </c>
      <c r="C30" s="368"/>
      <c r="D30" s="368"/>
      <c r="E30" s="368"/>
    </row>
    <row r="31" spans="1:5" ht="26.25" customHeight="1">
      <c r="A31" s="371" t="s">
        <v>659</v>
      </c>
      <c r="B31" s="360" t="s">
        <v>610</v>
      </c>
      <c r="C31" s="360"/>
      <c r="D31" s="360" t="s">
        <v>660</v>
      </c>
      <c r="E31" s="360" t="s">
        <v>631</v>
      </c>
    </row>
    <row r="32" spans="1:5">
      <c r="A32" s="371" t="s">
        <v>661</v>
      </c>
      <c r="B32" s="360" t="s">
        <v>611</v>
      </c>
      <c r="C32" s="360"/>
      <c r="D32" s="360" t="s">
        <v>662</v>
      </c>
      <c r="E32" s="360" t="s">
        <v>631</v>
      </c>
    </row>
    <row r="33" spans="1:5">
      <c r="A33" s="371" t="s">
        <v>663</v>
      </c>
      <c r="B33" s="360" t="s">
        <v>612</v>
      </c>
      <c r="C33" s="360"/>
      <c r="D33" s="360" t="s">
        <v>664</v>
      </c>
      <c r="E33" s="360" t="s">
        <v>631</v>
      </c>
    </row>
    <row r="34" spans="1:5" ht="35.25" customHeight="1">
      <c r="A34" s="371" t="s">
        <v>665</v>
      </c>
      <c r="B34" s="360" t="s">
        <v>627</v>
      </c>
      <c r="C34" s="360"/>
      <c r="D34" s="360" t="s">
        <v>666</v>
      </c>
      <c r="E34" s="360" t="s">
        <v>631</v>
      </c>
    </row>
    <row r="35" spans="1:5" ht="35.25" customHeight="1">
      <c r="A35" s="371" t="s">
        <v>667</v>
      </c>
      <c r="B35" s="360" t="s">
        <v>668</v>
      </c>
      <c r="C35" s="360"/>
      <c r="D35" s="360" t="s">
        <v>676</v>
      </c>
      <c r="E35" s="360" t="s">
        <v>631</v>
      </c>
    </row>
    <row r="36" spans="1:5">
      <c r="A36" s="369" t="s">
        <v>669</v>
      </c>
      <c r="B36" s="360" t="s">
        <v>670</v>
      </c>
      <c r="C36" s="360"/>
      <c r="D36" s="360"/>
      <c r="E36" s="360"/>
    </row>
    <row r="37" spans="1:5" ht="21">
      <c r="A37" s="391"/>
      <c r="B37" s="391"/>
      <c r="C37" s="391"/>
      <c r="D37" s="391"/>
      <c r="E37" s="39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view="pageBreakPreview" topLeftCell="A119" zoomScale="80" zoomScaleSheetLayoutView="80" workbookViewId="0">
      <selection activeCell="B123" sqref="B123:I167"/>
    </sheetView>
  </sheetViews>
  <sheetFormatPr defaultRowHeight="15"/>
  <cols>
    <col min="2" max="2" width="32.7109375" bestFit="1" customWidth="1"/>
    <col min="3" max="3" width="19.7109375" customWidth="1"/>
    <col min="4" max="4" width="15.7109375" customWidth="1"/>
    <col min="5" max="5" width="17.7109375" customWidth="1"/>
    <col min="6" max="6" width="17.85546875" customWidth="1"/>
    <col min="7" max="7" width="18" customWidth="1"/>
    <col min="8" max="8" width="17.85546875" customWidth="1"/>
    <col min="9" max="9" width="18.7109375" customWidth="1"/>
    <col min="10" max="10" width="18.140625" customWidth="1"/>
    <col min="11" max="11" width="14.42578125" customWidth="1"/>
    <col min="12" max="12" width="14.85546875" bestFit="1" customWidth="1"/>
    <col min="13" max="18" width="11.85546875" bestFit="1" customWidth="1"/>
    <col min="19" max="19" width="4.5703125" bestFit="1" customWidth="1"/>
  </cols>
  <sheetData>
    <row r="5" spans="2:12" ht="18.75">
      <c r="B5" s="460" t="s">
        <v>554</v>
      </c>
      <c r="C5" s="460"/>
      <c r="D5" s="460"/>
      <c r="E5" s="460"/>
      <c r="F5" s="460"/>
      <c r="G5" s="460"/>
      <c r="H5" s="460"/>
      <c r="I5" s="460"/>
      <c r="J5" s="460"/>
    </row>
    <row r="6" spans="2:12" ht="16.5">
      <c r="B6" s="8"/>
      <c r="C6" s="8"/>
      <c r="D6" s="8"/>
      <c r="E6" s="8"/>
      <c r="F6" s="8"/>
      <c r="G6" s="8"/>
      <c r="H6" s="8"/>
      <c r="I6" s="8"/>
      <c r="J6" s="8"/>
    </row>
    <row r="7" spans="2:12" ht="15.75">
      <c r="B7" s="85" t="s">
        <v>29</v>
      </c>
      <c r="C7" s="86" t="s">
        <v>335</v>
      </c>
      <c r="D7" s="86" t="s">
        <v>2</v>
      </c>
      <c r="E7" s="86" t="s">
        <v>3</v>
      </c>
      <c r="F7" s="86" t="s">
        <v>4</v>
      </c>
      <c r="G7" s="86" t="s">
        <v>5</v>
      </c>
      <c r="H7" s="86" t="s">
        <v>6</v>
      </c>
      <c r="I7" s="86" t="s">
        <v>167</v>
      </c>
      <c r="J7" s="86" t="s">
        <v>166</v>
      </c>
      <c r="L7" s="364"/>
    </row>
    <row r="8" spans="2:12">
      <c r="B8" s="87"/>
      <c r="C8" s="87"/>
      <c r="D8" s="87"/>
      <c r="E8" s="87"/>
      <c r="F8" s="87"/>
      <c r="G8" s="87"/>
      <c r="H8" s="87"/>
      <c r="I8" s="87"/>
      <c r="J8" s="87"/>
    </row>
    <row r="9" spans="2:12">
      <c r="B9" s="87" t="s">
        <v>30</v>
      </c>
      <c r="C9" s="87"/>
      <c r="D9" s="88">
        <f>'6.Cons Profit &amp; Loss'!B49</f>
        <v>-744805.77792462194</v>
      </c>
      <c r="E9" s="88">
        <f>'6.Cons Profit &amp; Loss'!C49</f>
        <v>424472.48731323669</v>
      </c>
      <c r="F9" s="88">
        <f>'6.Cons Profit &amp; Loss'!D49</f>
        <v>932905.71282575815</v>
      </c>
      <c r="G9" s="88">
        <f>'6.Cons Profit &amp; Loss'!E49</f>
        <v>1492552.2676626155</v>
      </c>
      <c r="H9" s="88">
        <f>'6.Cons Profit &amp; Loss'!F49</f>
        <v>2106996.7328583132</v>
      </c>
      <c r="I9" s="88">
        <f>'6.Cons Profit &amp; Loss'!G49</f>
        <v>2788354.8236151272</v>
      </c>
      <c r="J9" s="88">
        <f>'6.Cons Profit &amp; Loss'!H49</f>
        <v>3524280.2039528787</v>
      </c>
    </row>
    <row r="10" spans="2:12">
      <c r="B10" s="87"/>
      <c r="C10" s="87"/>
      <c r="D10" s="88"/>
      <c r="E10" s="88"/>
      <c r="F10" s="88"/>
      <c r="G10" s="88"/>
      <c r="H10" s="88"/>
      <c r="I10" s="88"/>
      <c r="J10" s="88"/>
    </row>
    <row r="11" spans="2:12">
      <c r="B11" s="89" t="s">
        <v>31</v>
      </c>
      <c r="C11" s="89"/>
      <c r="D11" s="88">
        <f>'6.Cons Profit &amp; Loss'!B40</f>
        <v>81150.027851999999</v>
      </c>
      <c r="E11" s="88">
        <f>'6.Cons Profit &amp; Loss'!C40</f>
        <v>81150.027851999999</v>
      </c>
      <c r="F11" s="88">
        <f>'6.Cons Profit &amp; Loss'!D40</f>
        <v>81150.027851999999</v>
      </c>
      <c r="G11" s="88">
        <f>'6.Cons Profit &amp; Loss'!E40</f>
        <v>81150.027851999999</v>
      </c>
      <c r="H11" s="88">
        <f>'6.Cons Profit &amp; Loss'!F40</f>
        <v>81150.027851999999</v>
      </c>
      <c r="I11" s="88">
        <f>'6.Cons Profit &amp; Loss'!G40</f>
        <v>81150.027851999999</v>
      </c>
      <c r="J11" s="88">
        <f>'6.Cons Profit &amp; Loss'!H40</f>
        <v>81150.027851999999</v>
      </c>
    </row>
    <row r="12" spans="2:12">
      <c r="B12" s="87" t="s">
        <v>36</v>
      </c>
      <c r="C12" s="87"/>
      <c r="D12" s="88">
        <f>'6.Cons Profit &amp; Loss'!B41</f>
        <v>11000</v>
      </c>
      <c r="E12" s="88">
        <f>'6.Cons Profit &amp; Loss'!C41</f>
        <v>11000</v>
      </c>
      <c r="F12" s="88">
        <f>'6.Cons Profit &amp; Loss'!D41</f>
        <v>11000</v>
      </c>
      <c r="G12" s="88">
        <f>'6.Cons Profit &amp; Loss'!E41</f>
        <v>11000</v>
      </c>
      <c r="H12" s="88">
        <f>'6.Cons Profit &amp; Loss'!F41</f>
        <v>11000</v>
      </c>
      <c r="I12" s="88">
        <f>'6.Cons Profit &amp; Loss'!G41</f>
        <v>0</v>
      </c>
      <c r="J12" s="88">
        <f>'6.Cons Profit &amp; Loss'!H41</f>
        <v>0</v>
      </c>
    </row>
    <row r="13" spans="2:12">
      <c r="B13" s="87"/>
      <c r="C13" s="87"/>
      <c r="D13" s="87"/>
      <c r="E13" s="87"/>
      <c r="F13" s="87"/>
      <c r="G13" s="87"/>
      <c r="H13" s="87"/>
      <c r="I13" s="87"/>
      <c r="J13" s="87"/>
    </row>
    <row r="14" spans="2:12">
      <c r="B14" s="87" t="s">
        <v>32</v>
      </c>
      <c r="C14" s="87"/>
      <c r="D14" s="88">
        <f>SUM(D9:D12)</f>
        <v>-652655.75007262197</v>
      </c>
      <c r="E14" s="88">
        <f t="shared" ref="E14:J14" si="0">SUM(E9:E12)</f>
        <v>516622.51516523666</v>
      </c>
      <c r="F14" s="88">
        <f t="shared" si="0"/>
        <v>1025055.7406777581</v>
      </c>
      <c r="G14" s="88">
        <f t="shared" si="0"/>
        <v>1584702.2955146155</v>
      </c>
      <c r="H14" s="88">
        <f t="shared" si="0"/>
        <v>2199146.7607103135</v>
      </c>
      <c r="I14" s="88">
        <f t="shared" si="0"/>
        <v>2869504.8514671274</v>
      </c>
      <c r="J14" s="88">
        <f t="shared" si="0"/>
        <v>3605430.2318048789</v>
      </c>
    </row>
    <row r="15" spans="2:12">
      <c r="B15" s="87" t="s">
        <v>344</v>
      </c>
      <c r="C15" s="90">
        <f>-'1.Project Cost and MOF'!D13</f>
        <v>-5426660.7683960628</v>
      </c>
      <c r="D15" s="88">
        <f>D14</f>
        <v>-652655.75007262197</v>
      </c>
      <c r="E15" s="88">
        <f t="shared" ref="E15:J15" si="1">E14</f>
        <v>516622.51516523666</v>
      </c>
      <c r="F15" s="88">
        <f t="shared" si="1"/>
        <v>1025055.7406777581</v>
      </c>
      <c r="G15" s="88">
        <f t="shared" si="1"/>
        <v>1584702.2955146155</v>
      </c>
      <c r="H15" s="88">
        <f t="shared" si="1"/>
        <v>2199146.7607103135</v>
      </c>
      <c r="I15" s="88">
        <f t="shared" si="1"/>
        <v>2869504.8514671274</v>
      </c>
      <c r="J15" s="88">
        <f t="shared" si="1"/>
        <v>3605430.2318048789</v>
      </c>
    </row>
    <row r="16" spans="2:12">
      <c r="B16" s="87" t="s">
        <v>280</v>
      </c>
      <c r="C16" s="256">
        <f>IRR(C15:J15)</f>
        <v>0.13691253504335776</v>
      </c>
      <c r="D16" s="88"/>
      <c r="E16" s="88"/>
      <c r="F16" s="88"/>
      <c r="G16" s="88"/>
      <c r="H16" s="88"/>
      <c r="I16" s="88"/>
      <c r="J16" s="88"/>
    </row>
    <row r="17" spans="2:19">
      <c r="B17" s="87"/>
      <c r="C17" s="87"/>
      <c r="D17" s="87"/>
      <c r="E17" s="87"/>
      <c r="F17" s="87"/>
      <c r="G17" s="87"/>
      <c r="H17" s="87"/>
      <c r="I17" s="87"/>
      <c r="J17" s="87"/>
    </row>
    <row r="18" spans="2:19" ht="16.5">
      <c r="B18" s="257" t="s">
        <v>407</v>
      </c>
      <c r="C18" s="257"/>
      <c r="D18" s="258">
        <f>1/(1+$C$16)</f>
        <v>0.87957513808383125</v>
      </c>
      <c r="E18" s="259">
        <f t="shared" ref="E18:J18" si="2">D18/(1+$C$16)</f>
        <v>0.77365242353519081</v>
      </c>
      <c r="F18" s="259">
        <f t="shared" si="2"/>
        <v>0.68048543725985611</v>
      </c>
      <c r="G18" s="259">
        <f t="shared" si="2"/>
        <v>0.59853807244187418</v>
      </c>
      <c r="H18" s="259">
        <f t="shared" si="2"/>
        <v>0.52645920771649168</v>
      </c>
      <c r="I18" s="259">
        <f t="shared" si="2"/>
        <v>0.46306043032273753</v>
      </c>
      <c r="J18" s="259">
        <f t="shared" si="2"/>
        <v>0.40729644194228015</v>
      </c>
      <c r="L18" s="17"/>
      <c r="M18" s="17"/>
      <c r="N18" s="17"/>
      <c r="O18" s="17"/>
      <c r="P18" s="17"/>
      <c r="Q18" s="17"/>
      <c r="R18" s="17"/>
      <c r="S18" s="17"/>
    </row>
    <row r="19" spans="2:19">
      <c r="B19" s="87" t="s">
        <v>33</v>
      </c>
      <c r="C19" s="87"/>
      <c r="D19" s="88">
        <f t="shared" ref="D19:J19" si="3">D14*D18</f>
        <v>-574059.77149133291</v>
      </c>
      <c r="E19" s="88">
        <f t="shared" si="3"/>
        <v>399686.26091043121</v>
      </c>
      <c r="F19" s="88">
        <f t="shared" si="3"/>
        <v>697535.5039108299</v>
      </c>
      <c r="G19" s="88">
        <f t="shared" si="3"/>
        <v>948504.6573515312</v>
      </c>
      <c r="H19" s="88">
        <f t="shared" si="3"/>
        <v>1157761.0612958407</v>
      </c>
      <c r="I19" s="88">
        <f t="shared" si="3"/>
        <v>1328754.1513335512</v>
      </c>
      <c r="J19" s="88">
        <f t="shared" si="3"/>
        <v>1468478.9050852575</v>
      </c>
      <c r="L19" s="6"/>
    </row>
    <row r="20" spans="2:19">
      <c r="B20" s="87" t="s">
        <v>34</v>
      </c>
      <c r="C20" s="87"/>
      <c r="D20" s="455">
        <f>SUM(D19:J19)</f>
        <v>5426660.7683961084</v>
      </c>
      <c r="E20" s="455"/>
      <c r="F20" s="455"/>
      <c r="G20" s="455"/>
      <c r="H20" s="455"/>
      <c r="I20" s="455"/>
      <c r="J20" s="455"/>
      <c r="L20" s="6"/>
    </row>
    <row r="21" spans="2:19">
      <c r="B21" s="87"/>
      <c r="C21" s="87"/>
      <c r="D21" s="88"/>
      <c r="E21" s="88"/>
      <c r="F21" s="88"/>
      <c r="G21" s="88"/>
      <c r="H21" s="88"/>
      <c r="I21" s="88"/>
      <c r="J21" s="88"/>
    </row>
    <row r="22" spans="2:19">
      <c r="B22" s="9" t="s">
        <v>35</v>
      </c>
      <c r="C22" s="9"/>
      <c r="D22" s="456">
        <f>'1.Project Cost and MOF'!D13</f>
        <v>5426660.7683960628</v>
      </c>
      <c r="E22" s="456"/>
      <c r="F22" s="456"/>
      <c r="G22" s="456"/>
      <c r="H22" s="456"/>
      <c r="I22" s="456"/>
      <c r="J22" s="456"/>
    </row>
    <row r="23" spans="2:19">
      <c r="F23" s="17">
        <f>D20-D22</f>
        <v>4.5634806156158447E-8</v>
      </c>
    </row>
    <row r="24" spans="2:19" ht="29.45" customHeight="1">
      <c r="B24" s="461" t="s">
        <v>425</v>
      </c>
      <c r="C24" s="461"/>
      <c r="D24" s="461"/>
      <c r="E24" s="461"/>
      <c r="F24" s="461"/>
      <c r="G24" s="461"/>
      <c r="H24" s="461"/>
      <c r="I24" s="461"/>
      <c r="J24" s="461"/>
    </row>
    <row r="25" spans="2:19">
      <c r="K25" s="17"/>
      <c r="L25" s="17"/>
      <c r="M25" s="17"/>
    </row>
    <row r="26" spans="2:19" ht="18.75">
      <c r="B26" s="412" t="s">
        <v>555</v>
      </c>
      <c r="C26" s="412"/>
      <c r="D26" s="412"/>
      <c r="E26" s="412"/>
      <c r="F26" s="412"/>
      <c r="G26" s="412"/>
      <c r="H26" s="412"/>
      <c r="I26" s="412"/>
    </row>
    <row r="27" spans="2:19">
      <c r="K27" s="17"/>
    </row>
    <row r="28" spans="2:19">
      <c r="B28" s="112" t="s">
        <v>0</v>
      </c>
      <c r="C28" s="103" t="s">
        <v>2</v>
      </c>
      <c r="D28" s="103" t="s">
        <v>3</v>
      </c>
      <c r="E28" s="103" t="s">
        <v>4</v>
      </c>
      <c r="F28" s="103" t="s">
        <v>5</v>
      </c>
      <c r="G28" s="103" t="s">
        <v>6</v>
      </c>
      <c r="H28" s="103" t="s">
        <v>167</v>
      </c>
      <c r="I28" s="103" t="s">
        <v>166</v>
      </c>
    </row>
    <row r="29" spans="2:19">
      <c r="B29" s="94"/>
      <c r="C29" s="94"/>
      <c r="D29" s="94"/>
      <c r="E29" s="94"/>
      <c r="F29" s="94"/>
      <c r="G29" s="94"/>
      <c r="H29" s="94"/>
      <c r="I29" s="94"/>
    </row>
    <row r="30" spans="2:19">
      <c r="B30" s="94" t="s">
        <v>37</v>
      </c>
      <c r="C30" s="94"/>
      <c r="D30" s="94"/>
      <c r="E30" s="94"/>
      <c r="F30" s="94"/>
      <c r="G30" s="94"/>
      <c r="H30" s="94"/>
      <c r="I30" s="94"/>
    </row>
    <row r="31" spans="2:19">
      <c r="B31" s="94"/>
      <c r="C31" s="95"/>
      <c r="D31" s="95"/>
      <c r="E31" s="95"/>
      <c r="F31" s="95"/>
      <c r="G31" s="95"/>
      <c r="H31" s="95"/>
      <c r="I31" s="95"/>
    </row>
    <row r="32" spans="2:19">
      <c r="B32" s="109" t="str">
        <f>'6.Cons Profit &amp; Loss'!A6</f>
        <v>Faclitiy 1 - Trading Activity</v>
      </c>
      <c r="C32" s="95">
        <f>'6.Cons Profit &amp; Loss'!B6</f>
        <v>9699517.6199999973</v>
      </c>
      <c r="D32" s="95">
        <f>'6.Cons Profit &amp; Loss'!C6</f>
        <v>18635291.293499995</v>
      </c>
      <c r="E32" s="95">
        <f>'6.Cons Profit &amp; Loss'!D6</f>
        <v>22531184.107424997</v>
      </c>
      <c r="F32" s="95">
        <f>'6.Cons Profit &amp; Loss'!E6</f>
        <v>26770077.974508744</v>
      </c>
      <c r="G32" s="95">
        <f>'6.Cons Profit &amp; Loss'!F6</f>
        <v>31376533.268032309</v>
      </c>
      <c r="H32" s="95">
        <f>'6.Cons Profit &amp; Loss'!G6</f>
        <v>36376708.895971961</v>
      </c>
      <c r="I32" s="95">
        <f>'6.Cons Profit &amp; Loss'!H6</f>
        <v>41798460.753535502</v>
      </c>
    </row>
    <row r="33" spans="2:9">
      <c r="B33" s="109" t="str">
        <f>'6.Cons Profit &amp; Loss'!A7</f>
        <v>Faclitiy 2 - Processing Unit- Cleaning, Grading</v>
      </c>
      <c r="C33" s="95">
        <f>'6.Cons Profit &amp; Loss'!B7</f>
        <v>469489.07400000002</v>
      </c>
      <c r="D33" s="95">
        <f>'6.Cons Profit &amp; Loss'!C7</f>
        <v>760755.26835000014</v>
      </c>
      <c r="E33" s="95">
        <f>'6.Cons Profit &amp; Loss'!D7</f>
        <v>1068786.62163</v>
      </c>
      <c r="F33" s="95">
        <f>'6.Cons Profit &amp; Loss'!E7</f>
        <v>1405719.2220671251</v>
      </c>
      <c r="G33" s="95">
        <f>'6.Cons Profit &amp; Loss'!F7</f>
        <v>1773673.1159938881</v>
      </c>
      <c r="H33" s="95">
        <f>'6.Cons Profit &amp; Loss'!G7</f>
        <v>2174908.1012581591</v>
      </c>
      <c r="I33" s="95">
        <f>'6.Cons Profit &amp; Loss'!H7</f>
        <v>2611832.4022588725</v>
      </c>
    </row>
    <row r="34" spans="2:9">
      <c r="B34" s="109" t="str">
        <f>'6.Cons Profit &amp; Loss'!A8</f>
        <v>Faclitiy 3 - Warehouse</v>
      </c>
      <c r="C34" s="95">
        <f>'6.Cons Profit &amp; Loss'!B8</f>
        <v>0</v>
      </c>
      <c r="D34" s="95">
        <f>'6.Cons Profit &amp; Loss'!C8</f>
        <v>0</v>
      </c>
      <c r="E34" s="95">
        <f>'6.Cons Profit &amp; Loss'!D8</f>
        <v>0</v>
      </c>
      <c r="F34" s="95">
        <f>'6.Cons Profit &amp; Loss'!E8</f>
        <v>0</v>
      </c>
      <c r="G34" s="95">
        <f>'6.Cons Profit &amp; Loss'!F8</f>
        <v>0</v>
      </c>
      <c r="H34" s="95">
        <f>'6.Cons Profit &amp; Loss'!G8</f>
        <v>0</v>
      </c>
      <c r="I34" s="95">
        <f>'6.Cons Profit &amp; Loss'!H8</f>
        <v>0</v>
      </c>
    </row>
    <row r="35" spans="2:9">
      <c r="B35" s="109" t="str">
        <f>'6.Cons Profit &amp; Loss'!A9</f>
        <v xml:space="preserve">Faclitiy 4 - Custom Hiring </v>
      </c>
      <c r="C35" s="95">
        <f>'6.Cons Profit &amp; Loss'!B9</f>
        <v>0</v>
      </c>
      <c r="D35" s="95">
        <f>'6.Cons Profit &amp; Loss'!C9</f>
        <v>0</v>
      </c>
      <c r="E35" s="95">
        <f>'6.Cons Profit &amp; Loss'!D9</f>
        <v>0</v>
      </c>
      <c r="F35" s="95">
        <f>'6.Cons Profit &amp; Loss'!E9</f>
        <v>0</v>
      </c>
      <c r="G35" s="95">
        <f>'6.Cons Profit &amp; Loss'!F9</f>
        <v>0</v>
      </c>
      <c r="H35" s="95">
        <f>'6.Cons Profit &amp; Loss'!G9</f>
        <v>0</v>
      </c>
      <c r="I35" s="95">
        <f>'6.Cons Profit &amp; Loss'!H9</f>
        <v>0</v>
      </c>
    </row>
    <row r="36" spans="2:9">
      <c r="B36" s="109" t="str">
        <f>'6.Cons Profit &amp; Loss'!A10</f>
        <v>Faclitiy 5 - Agri Input Centre</v>
      </c>
      <c r="C36" s="95">
        <f>'6.Cons Profit &amp; Loss'!B10</f>
        <v>0</v>
      </c>
      <c r="D36" s="95">
        <f>'6.Cons Profit &amp; Loss'!C10</f>
        <v>0</v>
      </c>
      <c r="E36" s="95">
        <f>'6.Cons Profit &amp; Loss'!D10</f>
        <v>0</v>
      </c>
      <c r="F36" s="95">
        <f>'6.Cons Profit &amp; Loss'!E10</f>
        <v>0</v>
      </c>
      <c r="G36" s="95">
        <f>'6.Cons Profit &amp; Loss'!F10</f>
        <v>0</v>
      </c>
      <c r="H36" s="95">
        <f>'6.Cons Profit &amp; Loss'!G10</f>
        <v>0</v>
      </c>
      <c r="I36" s="95">
        <f>'6.Cons Profit &amp; Loss'!H10</f>
        <v>0</v>
      </c>
    </row>
    <row r="37" spans="2:9">
      <c r="B37" s="109" t="str">
        <f>'6.Cons Profit &amp; Loss'!A11</f>
        <v>Facility 6 - Processing Unit - Horti Commodity</v>
      </c>
      <c r="C37" s="95">
        <f>'6.Cons Profit &amp; Loss'!B11</f>
        <v>0</v>
      </c>
      <c r="D37" s="95">
        <f>'6.Cons Profit &amp; Loss'!C11</f>
        <v>0</v>
      </c>
      <c r="E37" s="95">
        <f>'6.Cons Profit &amp; Loss'!D11</f>
        <v>0</v>
      </c>
      <c r="F37" s="95">
        <f>'6.Cons Profit &amp; Loss'!E11</f>
        <v>0</v>
      </c>
      <c r="G37" s="95">
        <f>'6.Cons Profit &amp; Loss'!F11</f>
        <v>0</v>
      </c>
      <c r="H37" s="95">
        <f>'6.Cons Profit &amp; Loss'!G11</f>
        <v>0</v>
      </c>
      <c r="I37" s="95">
        <f>'6.Cons Profit &amp; Loss'!H11</f>
        <v>0</v>
      </c>
    </row>
    <row r="38" spans="2:9">
      <c r="B38" s="109"/>
      <c r="C38" s="109"/>
      <c r="D38" s="109"/>
      <c r="E38" s="109"/>
      <c r="F38" s="109"/>
      <c r="G38" s="109"/>
      <c r="H38" s="109"/>
      <c r="I38" s="109"/>
    </row>
    <row r="39" spans="2:9">
      <c r="B39" s="94" t="s">
        <v>8</v>
      </c>
      <c r="C39" s="95">
        <f>SUM(C32:C38)</f>
        <v>10169006.693999998</v>
      </c>
      <c r="D39" s="95">
        <f t="shared" ref="D39:I39" si="4">SUM(D32:D38)</f>
        <v>19396046.561849996</v>
      </c>
      <c r="E39" s="95">
        <f t="shared" si="4"/>
        <v>23599970.729054995</v>
      </c>
      <c r="F39" s="95">
        <f t="shared" si="4"/>
        <v>28175797.196575869</v>
      </c>
      <c r="G39" s="95">
        <f t="shared" si="4"/>
        <v>33150206.384026196</v>
      </c>
      <c r="H39" s="95">
        <f t="shared" si="4"/>
        <v>38551616.99723012</v>
      </c>
      <c r="I39" s="95">
        <f t="shared" si="4"/>
        <v>44410293.155794375</v>
      </c>
    </row>
    <row r="40" spans="2:9">
      <c r="B40" s="94"/>
      <c r="C40" s="95"/>
      <c r="D40" s="95"/>
      <c r="E40" s="95"/>
      <c r="F40" s="95"/>
      <c r="G40" s="95"/>
      <c r="H40" s="95"/>
      <c r="I40" s="95"/>
    </row>
    <row r="41" spans="2:9">
      <c r="B41" s="94" t="s">
        <v>38</v>
      </c>
      <c r="C41" s="95">
        <f>'6.Cons Profit &amp; Loss'!B23</f>
        <v>8070907.568062501</v>
      </c>
      <c r="D41" s="95">
        <f>'6.Cons Profit &amp; Loss'!C23</f>
        <v>15214219.295770312</v>
      </c>
      <c r="E41" s="95">
        <f>'6.Cons Profit &amp; Loss'!D23</f>
        <v>18412285.825513121</v>
      </c>
      <c r="F41" s="95">
        <f>'6.Cons Profit &amp; Loss'!E23</f>
        <v>21892123.459990792</v>
      </c>
      <c r="G41" s="95">
        <f>'6.Cons Profit &amp; Loss'!F23</f>
        <v>25673914.143352453</v>
      </c>
      <c r="H41" s="95">
        <f>'6.Cons Profit &amp; Loss'!G23</f>
        <v>29779153.586400289</v>
      </c>
      <c r="I41" s="95">
        <f>'6.Cons Profit &amp; Loss'!H23</f>
        <v>34230732.188394524</v>
      </c>
    </row>
    <row r="42" spans="2:9">
      <c r="B42" s="94"/>
      <c r="C42" s="95"/>
      <c r="D42" s="95"/>
      <c r="E42" s="95"/>
      <c r="F42" s="95"/>
      <c r="G42" s="95"/>
      <c r="H42" s="95"/>
      <c r="I42" s="95"/>
    </row>
    <row r="43" spans="2:9">
      <c r="B43" s="96" t="s">
        <v>39</v>
      </c>
      <c r="C43" s="114">
        <f>C39-C41</f>
        <v>2098099.1259374972</v>
      </c>
      <c r="D43" s="114">
        <f t="shared" ref="D43:I43" si="5">D39-D41</f>
        <v>4181827.2660796847</v>
      </c>
      <c r="E43" s="114">
        <f t="shared" si="5"/>
        <v>5187684.9035418741</v>
      </c>
      <c r="F43" s="114">
        <f t="shared" si="5"/>
        <v>6283673.7365850769</v>
      </c>
      <c r="G43" s="114">
        <f t="shared" si="5"/>
        <v>7476292.2406737432</v>
      </c>
      <c r="H43" s="114">
        <f t="shared" si="5"/>
        <v>8772463.4108298309</v>
      </c>
      <c r="I43" s="114">
        <f t="shared" si="5"/>
        <v>10179560.96739985</v>
      </c>
    </row>
    <row r="44" spans="2:9">
      <c r="B44" s="94"/>
      <c r="C44" s="95"/>
      <c r="D44" s="95"/>
      <c r="E44" s="95"/>
      <c r="F44" s="95"/>
      <c r="G44" s="95"/>
      <c r="H44" s="95"/>
      <c r="I44" s="95"/>
    </row>
    <row r="45" spans="2:9">
      <c r="B45" s="96" t="s">
        <v>41</v>
      </c>
      <c r="C45" s="114">
        <f>'6.Cons Profit &amp; Loss'!B34+'6.Cons Profit &amp; Loss'!B40+'6.Cons Profit &amp; Loss'!B41</f>
        <v>2599150.0278520002</v>
      </c>
      <c r="D45" s="114">
        <f>'6.Cons Profit &amp; Loss'!C34+'6.Cons Profit &amp; Loss'!C40+'6.Cons Profit &amp; Loss'!C41</f>
        <v>2724500.0278520002</v>
      </c>
      <c r="E45" s="114">
        <f>'6.Cons Profit &amp; Loss'!D34+'6.Cons Profit &amp; Loss'!D40+'6.Cons Profit &amp; Loss'!D41</f>
        <v>2856117.5278520002</v>
      </c>
      <c r="F45" s="114">
        <f>'6.Cons Profit &amp; Loss'!E34+'6.Cons Profit &amp; Loss'!E40+'6.Cons Profit &amp; Loss'!E41</f>
        <v>2994315.9028520007</v>
      </c>
      <c r="G45" s="114">
        <f>'6.Cons Profit &amp; Loss'!F34+'6.Cons Profit &amp; Loss'!F40+'6.Cons Profit &amp; Loss'!F41</f>
        <v>3139424.1966020009</v>
      </c>
      <c r="H45" s="114">
        <f>'6.Cons Profit &amp; Loss'!G34+'6.Cons Profit &amp; Loss'!G40+'6.Cons Profit &amp; Loss'!G41</f>
        <v>3280787.9050395009</v>
      </c>
      <c r="I45" s="114">
        <f>'6.Cons Profit &amp; Loss'!H34+'6.Cons Profit &amp; Loss'!H40+'6.Cons Profit &amp; Loss'!H41</f>
        <v>3440769.7988988762</v>
      </c>
    </row>
    <row r="46" spans="2:9">
      <c r="B46" s="94"/>
      <c r="C46" s="94"/>
      <c r="D46" s="94"/>
      <c r="E46" s="94"/>
      <c r="F46" s="94"/>
      <c r="G46" s="94"/>
      <c r="H46" s="94"/>
      <c r="I46" s="94"/>
    </row>
    <row r="47" spans="2:9">
      <c r="B47" s="94" t="s">
        <v>40</v>
      </c>
      <c r="C47" s="113">
        <f>C45/C43</f>
        <v>1.2388118348272117</v>
      </c>
      <c r="D47" s="113">
        <f>D45/D43</f>
        <v>0.65150946093622908</v>
      </c>
      <c r="E47" s="113">
        <f>E45/E43</f>
        <v>0.55055724874538847</v>
      </c>
      <c r="F47" s="113">
        <f>F45/F43</f>
        <v>0.47652313413702008</v>
      </c>
      <c r="G47" s="113">
        <f>G45/G43</f>
        <v>0.41991726587711403</v>
      </c>
      <c r="H47" s="113">
        <f t="shared" ref="H47:I47" si="6">H45/H43</f>
        <v>0.37398707197675901</v>
      </c>
      <c r="I47" s="113">
        <f t="shared" si="6"/>
        <v>0.33800768126621344</v>
      </c>
    </row>
    <row r="48" spans="2:9">
      <c r="B48" s="93"/>
      <c r="C48" s="93"/>
      <c r="D48" s="93"/>
      <c r="E48" s="93"/>
      <c r="F48" s="93"/>
      <c r="G48" s="93"/>
      <c r="H48" s="93"/>
      <c r="I48" s="93"/>
    </row>
    <row r="49" spans="2:10">
      <c r="B49" s="115" t="s">
        <v>133</v>
      </c>
      <c r="C49" s="116">
        <f>AVERAGE(C47:I47)</f>
        <v>0.5784733853951336</v>
      </c>
      <c r="D49" s="93"/>
      <c r="E49" s="93"/>
      <c r="F49" s="93"/>
      <c r="G49" s="93"/>
      <c r="H49" s="93"/>
      <c r="I49" s="93"/>
    </row>
    <row r="51" spans="2:10" ht="41.45" customHeight="1">
      <c r="B51" s="462" t="s">
        <v>426</v>
      </c>
      <c r="C51" s="462"/>
      <c r="D51" s="462"/>
      <c r="E51" s="462"/>
      <c r="F51" s="462"/>
      <c r="G51" s="462"/>
      <c r="H51" s="462"/>
      <c r="I51" s="462"/>
      <c r="J51" s="462"/>
    </row>
    <row r="54" spans="2:10" ht="18.75">
      <c r="B54" s="412" t="s">
        <v>556</v>
      </c>
      <c r="C54" s="412"/>
      <c r="D54" s="412"/>
      <c r="E54" s="412"/>
      <c r="F54" s="412"/>
      <c r="G54" s="412"/>
      <c r="H54" s="412"/>
      <c r="I54" s="412"/>
    </row>
    <row r="56" spans="2:10">
      <c r="B56" s="82" t="s">
        <v>29</v>
      </c>
      <c r="C56" s="83" t="s">
        <v>2</v>
      </c>
      <c r="D56" s="83" t="s">
        <v>3</v>
      </c>
      <c r="E56" s="83" t="s">
        <v>4</v>
      </c>
      <c r="F56" s="83" t="s">
        <v>5</v>
      </c>
      <c r="G56" s="83" t="s">
        <v>6</v>
      </c>
      <c r="H56" s="83" t="s">
        <v>167</v>
      </c>
      <c r="I56" s="83" t="s">
        <v>166</v>
      </c>
    </row>
    <row r="57" spans="2:10">
      <c r="B57" s="94"/>
      <c r="C57" s="94"/>
      <c r="D57" s="94"/>
      <c r="E57" s="94"/>
      <c r="F57" s="94"/>
      <c r="G57" s="94"/>
      <c r="H57" s="94"/>
      <c r="I57" s="94"/>
    </row>
    <row r="58" spans="2:10">
      <c r="B58" s="94" t="s">
        <v>374</v>
      </c>
      <c r="C58" s="326">
        <f>'6.Cons Profit &amp; Loss'!B49</f>
        <v>-744805.77792462194</v>
      </c>
      <c r="D58" s="326">
        <f>'6.Cons Profit &amp; Loss'!C49</f>
        <v>424472.48731323669</v>
      </c>
      <c r="E58" s="326">
        <f>'6.Cons Profit &amp; Loss'!D49</f>
        <v>932905.71282575815</v>
      </c>
      <c r="F58" s="326">
        <f>'6.Cons Profit &amp; Loss'!E49</f>
        <v>1492552.2676626155</v>
      </c>
      <c r="G58" s="326">
        <f>'6.Cons Profit &amp; Loss'!F49</f>
        <v>2106996.7328583132</v>
      </c>
      <c r="H58" s="326">
        <f>'6.Cons Profit &amp; Loss'!G49</f>
        <v>2788354.8236151272</v>
      </c>
      <c r="I58" s="326">
        <f>'6.Cons Profit &amp; Loss'!H49</f>
        <v>3524280.2039528787</v>
      </c>
    </row>
    <row r="59" spans="2:10">
      <c r="B59" s="94"/>
      <c r="C59" s="326"/>
      <c r="D59" s="326"/>
      <c r="E59" s="326"/>
      <c r="F59" s="326"/>
      <c r="G59" s="326"/>
      <c r="H59" s="326"/>
      <c r="I59" s="326"/>
    </row>
    <row r="60" spans="2:10">
      <c r="B60" s="94" t="s">
        <v>42</v>
      </c>
      <c r="C60" s="326">
        <f>'6.Cons Profit &amp; Loss'!B40</f>
        <v>81150.027851999999</v>
      </c>
      <c r="D60" s="326">
        <f>'6.Cons Profit &amp; Loss'!C40</f>
        <v>81150.027851999999</v>
      </c>
      <c r="E60" s="326">
        <f>'6.Cons Profit &amp; Loss'!D40</f>
        <v>81150.027851999999</v>
      </c>
      <c r="F60" s="326">
        <f>'6.Cons Profit &amp; Loss'!E40</f>
        <v>81150.027851999999</v>
      </c>
      <c r="G60" s="326">
        <f>'6.Cons Profit &amp; Loss'!F40</f>
        <v>81150.027851999999</v>
      </c>
      <c r="H60" s="326">
        <f>'6.Cons Profit &amp; Loss'!G40</f>
        <v>81150.027851999999</v>
      </c>
      <c r="I60" s="326">
        <f>'6.Cons Profit &amp; Loss'!H40</f>
        <v>81150.027851999999</v>
      </c>
    </row>
    <row r="61" spans="2:10">
      <c r="B61" s="108" t="s">
        <v>48</v>
      </c>
      <c r="C61" s="326">
        <f>'6.Cons Profit &amp; Loss'!B41</f>
        <v>11000</v>
      </c>
      <c r="D61" s="326">
        <f>'6.Cons Profit &amp; Loss'!C41</f>
        <v>11000</v>
      </c>
      <c r="E61" s="326">
        <f>'6.Cons Profit &amp; Loss'!D41</f>
        <v>11000</v>
      </c>
      <c r="F61" s="326">
        <f>'6.Cons Profit &amp; Loss'!E41</f>
        <v>11000</v>
      </c>
      <c r="G61" s="326">
        <f>'6.Cons Profit &amp; Loss'!F41</f>
        <v>11000</v>
      </c>
      <c r="H61" s="326">
        <f>'6.Cons Profit &amp; Loss'!G41</f>
        <v>0</v>
      </c>
      <c r="I61" s="326">
        <f>'6.Cons Profit &amp; Loss'!H41</f>
        <v>0</v>
      </c>
    </row>
    <row r="62" spans="2:10">
      <c r="B62" s="94"/>
      <c r="C62" s="326"/>
      <c r="D62" s="326"/>
      <c r="E62" s="326"/>
      <c r="F62" s="326"/>
      <c r="G62" s="326"/>
      <c r="H62" s="326"/>
      <c r="I62" s="326"/>
    </row>
    <row r="63" spans="2:10">
      <c r="B63" s="94" t="s">
        <v>32</v>
      </c>
      <c r="C63" s="326">
        <f>SUM(C58:C61)</f>
        <v>-652655.75007262197</v>
      </c>
      <c r="D63" s="326">
        <f t="shared" ref="D63:I63" si="7">SUM(D58:D61)</f>
        <v>516622.51516523666</v>
      </c>
      <c r="E63" s="326">
        <f t="shared" si="7"/>
        <v>1025055.7406777581</v>
      </c>
      <c r="F63" s="326">
        <f t="shared" si="7"/>
        <v>1584702.2955146155</v>
      </c>
      <c r="G63" s="326">
        <f t="shared" si="7"/>
        <v>2199146.7607103135</v>
      </c>
      <c r="H63" s="326">
        <f t="shared" si="7"/>
        <v>2869504.8514671274</v>
      </c>
      <c r="I63" s="326">
        <f t="shared" si="7"/>
        <v>3605430.2318048789</v>
      </c>
    </row>
    <row r="64" spans="2:10">
      <c r="B64" s="94"/>
      <c r="C64" s="94"/>
      <c r="D64" s="94"/>
      <c r="E64" s="94"/>
      <c r="F64" s="94"/>
      <c r="G64" s="94"/>
      <c r="H64" s="94"/>
      <c r="I64" s="94"/>
    </row>
    <row r="65" spans="2:10" ht="16.5">
      <c r="B65" s="11" t="s">
        <v>43</v>
      </c>
      <c r="C65" s="109">
        <f>1/1.1</f>
        <v>0.90909090909090906</v>
      </c>
      <c r="D65" s="109">
        <f t="shared" ref="D65:I65" si="8">C65/1.1</f>
        <v>0.82644628099173545</v>
      </c>
      <c r="E65" s="109">
        <f t="shared" si="8"/>
        <v>0.75131480090157765</v>
      </c>
      <c r="F65" s="109">
        <f t="shared" si="8"/>
        <v>0.68301345536507052</v>
      </c>
      <c r="G65" s="109">
        <f t="shared" si="8"/>
        <v>0.62092132305915493</v>
      </c>
      <c r="H65" s="109">
        <f t="shared" si="8"/>
        <v>0.56447393005377711</v>
      </c>
      <c r="I65" s="109">
        <f t="shared" si="8"/>
        <v>0.51315811823070645</v>
      </c>
    </row>
    <row r="66" spans="2:10">
      <c r="B66" s="94"/>
      <c r="C66" s="94"/>
      <c r="D66" s="94"/>
      <c r="E66" s="94"/>
      <c r="F66" s="94"/>
      <c r="G66" s="94"/>
      <c r="H66" s="94"/>
      <c r="I66" s="94"/>
    </row>
    <row r="67" spans="2:10" ht="16.5">
      <c r="B67" s="11" t="s">
        <v>44</v>
      </c>
      <c r="C67" s="95">
        <f>C63*C65</f>
        <v>-593323.409156929</v>
      </c>
      <c r="D67" s="95">
        <f t="shared" ref="D67:I67" si="9">D63*D65</f>
        <v>426960.75633490627</v>
      </c>
      <c r="E67" s="95">
        <f t="shared" si="9"/>
        <v>770139.549720329</v>
      </c>
      <c r="F67" s="95">
        <f t="shared" si="9"/>
        <v>1082372.9905843965</v>
      </c>
      <c r="G67" s="95">
        <f t="shared" si="9"/>
        <v>1365497.1162615027</v>
      </c>
      <c r="H67" s="95">
        <f t="shared" si="9"/>
        <v>1619760.6808160294</v>
      </c>
      <c r="I67" s="95">
        <f t="shared" si="9"/>
        <v>1850155.7931650914</v>
      </c>
    </row>
    <row r="68" spans="2:10">
      <c r="B68" s="93"/>
      <c r="C68" s="111"/>
      <c r="D68" s="111"/>
      <c r="E68" s="111"/>
      <c r="F68" s="111"/>
      <c r="G68" s="111"/>
      <c r="H68" s="111"/>
      <c r="I68" s="111"/>
    </row>
    <row r="69" spans="2:10" ht="16.5">
      <c r="B69" s="12" t="s">
        <v>45</v>
      </c>
      <c r="C69" s="111">
        <f>SUM(C67:I67)</f>
        <v>6521563.4777253261</v>
      </c>
      <c r="D69" s="111"/>
      <c r="E69" s="111"/>
      <c r="F69" s="111"/>
      <c r="G69" s="111"/>
      <c r="H69" s="111"/>
      <c r="I69" s="111"/>
    </row>
    <row r="70" spans="2:10">
      <c r="B70" s="93"/>
      <c r="C70" s="111"/>
      <c r="D70" s="111"/>
      <c r="E70" s="111"/>
      <c r="F70" s="111"/>
      <c r="G70" s="111"/>
      <c r="H70" s="111"/>
      <c r="I70" s="111"/>
    </row>
    <row r="71" spans="2:10" ht="16.5">
      <c r="B71" s="12" t="s">
        <v>46</v>
      </c>
      <c r="C71" s="111">
        <f>'1.Project Cost and MOF'!D13</f>
        <v>5426660.7683960628</v>
      </c>
      <c r="D71" s="111"/>
      <c r="E71" s="111"/>
      <c r="F71" s="111"/>
      <c r="G71" s="111"/>
      <c r="H71" s="111"/>
      <c r="I71" s="111"/>
    </row>
    <row r="72" spans="2:10">
      <c r="B72" s="93"/>
      <c r="C72" s="110"/>
      <c r="D72" s="93"/>
      <c r="E72" s="93"/>
      <c r="F72" s="93"/>
      <c r="G72" s="93"/>
      <c r="H72" s="93"/>
      <c r="I72" s="93"/>
    </row>
    <row r="73" spans="2:10" ht="16.5">
      <c r="B73" s="12" t="s">
        <v>47</v>
      </c>
      <c r="C73" s="110">
        <f>C69-C71</f>
        <v>1094902.7093292633</v>
      </c>
      <c r="D73" s="93"/>
      <c r="E73" s="93"/>
      <c r="F73" s="93"/>
      <c r="G73" s="93"/>
      <c r="H73" s="93"/>
      <c r="I73" s="93"/>
    </row>
    <row r="75" spans="2:10" ht="35.1" customHeight="1">
      <c r="B75" s="419" t="s">
        <v>427</v>
      </c>
      <c r="C75" s="419"/>
      <c r="D75" s="419"/>
      <c r="E75" s="419"/>
      <c r="F75" s="419"/>
      <c r="G75" s="419"/>
      <c r="H75" s="419"/>
      <c r="I75" s="419"/>
      <c r="J75" s="419"/>
    </row>
    <row r="76" spans="2:10" ht="18.75">
      <c r="B76" s="412" t="s">
        <v>557</v>
      </c>
      <c r="C76" s="412"/>
      <c r="D76" s="412"/>
      <c r="E76" s="412"/>
      <c r="F76" s="412"/>
      <c r="G76" s="412"/>
      <c r="H76" s="412"/>
      <c r="I76" s="412"/>
    </row>
    <row r="77" spans="2:10">
      <c r="B77" s="93"/>
      <c r="C77" s="93"/>
      <c r="D77" s="93"/>
      <c r="E77" s="93"/>
      <c r="F77" s="93"/>
      <c r="G77" s="93"/>
      <c r="H77" s="93"/>
      <c r="I77" s="93"/>
    </row>
    <row r="78" spans="2:10" ht="15.75">
      <c r="B78" s="72" t="s">
        <v>0</v>
      </c>
      <c r="C78" s="72" t="s">
        <v>2</v>
      </c>
      <c r="D78" s="72" t="s">
        <v>3</v>
      </c>
      <c r="E78" s="72" t="s">
        <v>4</v>
      </c>
      <c r="F78" s="72" t="s">
        <v>5</v>
      </c>
      <c r="G78" s="72" t="s">
        <v>6</v>
      </c>
      <c r="H78" s="72" t="s">
        <v>167</v>
      </c>
      <c r="I78" s="72" t="s">
        <v>166</v>
      </c>
    </row>
    <row r="79" spans="2:10" ht="15.75">
      <c r="B79" s="69"/>
      <c r="C79" s="70"/>
      <c r="D79" s="70"/>
      <c r="E79" s="70"/>
      <c r="F79" s="70"/>
      <c r="G79" s="70"/>
      <c r="H79" s="70"/>
      <c r="I79" s="70"/>
    </row>
    <row r="80" spans="2:10">
      <c r="B80" s="96" t="s">
        <v>27</v>
      </c>
      <c r="C80" s="95">
        <f>'6.Cons Profit &amp; Loss'!B49</f>
        <v>-744805.77792462194</v>
      </c>
      <c r="D80" s="95">
        <f>'6.Cons Profit &amp; Loss'!C49</f>
        <v>424472.48731323669</v>
      </c>
      <c r="E80" s="95">
        <f>'6.Cons Profit &amp; Loss'!D49</f>
        <v>932905.71282575815</v>
      </c>
      <c r="F80" s="95">
        <f>'6.Cons Profit &amp; Loss'!E49</f>
        <v>1492552.2676626155</v>
      </c>
      <c r="G80" s="95">
        <f>'6.Cons Profit &amp; Loss'!F49</f>
        <v>2106996.7328583132</v>
      </c>
      <c r="H80" s="95">
        <f>'6.Cons Profit &amp; Loss'!G49</f>
        <v>2788354.8236151272</v>
      </c>
      <c r="I80" s="95">
        <f>'6.Cons Profit &amp; Loss'!H49</f>
        <v>3524280.2039528787</v>
      </c>
    </row>
    <row r="81" spans="2:10">
      <c r="B81" s="94"/>
      <c r="C81" s="94"/>
      <c r="D81" s="94"/>
      <c r="E81" s="94"/>
      <c r="F81" s="94"/>
      <c r="G81" s="94"/>
      <c r="H81" s="94"/>
      <c r="I81" s="94"/>
    </row>
    <row r="82" spans="2:10">
      <c r="B82" s="96" t="s">
        <v>124</v>
      </c>
      <c r="C82" s="458">
        <f>AVERAGE(C80:I80)</f>
        <v>1503536.6357576156</v>
      </c>
      <c r="D82" s="458"/>
      <c r="E82" s="458"/>
      <c r="F82" s="458"/>
      <c r="G82" s="458"/>
      <c r="H82" s="458"/>
      <c r="I82" s="458"/>
    </row>
    <row r="83" spans="2:10">
      <c r="B83" s="96" t="s">
        <v>125</v>
      </c>
      <c r="C83" s="458">
        <f>'1.Project Cost and MOF'!D13</f>
        <v>5426660.7683960628</v>
      </c>
      <c r="D83" s="458"/>
      <c r="E83" s="458"/>
      <c r="F83" s="458"/>
      <c r="G83" s="458"/>
      <c r="H83" s="458"/>
      <c r="I83" s="458"/>
    </row>
    <row r="84" spans="2:10">
      <c r="B84" s="94"/>
      <c r="C84" s="94"/>
      <c r="D84" s="94"/>
      <c r="E84" s="94"/>
      <c r="F84" s="94"/>
      <c r="G84" s="94"/>
      <c r="H84" s="94"/>
      <c r="I84" s="94"/>
    </row>
    <row r="85" spans="2:10">
      <c r="B85" s="255" t="s">
        <v>126</v>
      </c>
      <c r="C85" s="459">
        <f>C82/C83</f>
        <v>0.27706479176180571</v>
      </c>
      <c r="D85" s="459"/>
      <c r="E85" s="459"/>
      <c r="F85" s="459"/>
      <c r="G85" s="459"/>
      <c r="H85" s="459"/>
      <c r="I85" s="459"/>
    </row>
    <row r="88" spans="2:10">
      <c r="B88" s="457" t="s">
        <v>428</v>
      </c>
      <c r="C88" s="457"/>
      <c r="D88" s="457"/>
      <c r="E88" s="457"/>
      <c r="F88" s="457"/>
      <c r="G88" s="457"/>
      <c r="H88" s="457"/>
      <c r="I88" s="457"/>
    </row>
    <row r="90" spans="2:10" ht="18.75">
      <c r="B90" s="412" t="s">
        <v>558</v>
      </c>
      <c r="C90" s="412"/>
      <c r="D90" s="412"/>
      <c r="E90" s="412"/>
      <c r="F90" s="412"/>
      <c r="G90" s="412"/>
      <c r="H90" s="412"/>
      <c r="I90" s="412"/>
      <c r="J90" s="412"/>
    </row>
    <row r="92" spans="2:10">
      <c r="B92" s="103" t="s">
        <v>0</v>
      </c>
      <c r="C92" s="103" t="s">
        <v>335</v>
      </c>
      <c r="D92" s="103" t="s">
        <v>2</v>
      </c>
      <c r="E92" s="103" t="s">
        <v>3</v>
      </c>
      <c r="F92" s="103" t="s">
        <v>4</v>
      </c>
      <c r="G92" s="103" t="s">
        <v>5</v>
      </c>
      <c r="H92" s="103" t="s">
        <v>6</v>
      </c>
      <c r="I92" s="103" t="s">
        <v>167</v>
      </c>
      <c r="J92" s="103" t="s">
        <v>166</v>
      </c>
    </row>
    <row r="93" spans="2:10">
      <c r="B93" s="104"/>
      <c r="C93" s="104"/>
      <c r="D93" s="105"/>
      <c r="E93" s="105"/>
      <c r="F93" s="105"/>
      <c r="G93" s="105"/>
      <c r="H93" s="105"/>
      <c r="I93" s="105"/>
      <c r="J93" s="105"/>
    </row>
    <row r="94" spans="2:10">
      <c r="B94" s="24" t="s">
        <v>281</v>
      </c>
      <c r="C94" s="106">
        <f>'1.Project Cost and MOF'!D13</f>
        <v>5426660.7683960628</v>
      </c>
      <c r="D94" s="105"/>
      <c r="E94" s="105"/>
      <c r="F94" s="105"/>
      <c r="G94" s="105"/>
      <c r="H94" s="105"/>
      <c r="I94" s="105"/>
      <c r="J94" s="105"/>
    </row>
    <row r="95" spans="2:10">
      <c r="B95" s="25" t="str">
        <f>B58</f>
        <v>Profit after Tax &amp; Dividend</v>
      </c>
      <c r="C95" s="25"/>
      <c r="D95" s="26">
        <f>'6.Cons Profit &amp; Loss'!B49</f>
        <v>-744805.77792462194</v>
      </c>
      <c r="E95" s="26">
        <f>'6.Cons Profit &amp; Loss'!C49</f>
        <v>424472.48731323669</v>
      </c>
      <c r="F95" s="26">
        <f>'6.Cons Profit &amp; Loss'!D49</f>
        <v>932905.71282575815</v>
      </c>
      <c r="G95" s="26">
        <f>'6.Cons Profit &amp; Loss'!E49</f>
        <v>1492552.2676626155</v>
      </c>
      <c r="H95" s="26">
        <f>'6.Cons Profit &amp; Loss'!F49</f>
        <v>2106996.7328583132</v>
      </c>
      <c r="I95" s="26">
        <f>'6.Cons Profit &amp; Loss'!G49</f>
        <v>2788354.8236151272</v>
      </c>
      <c r="J95" s="26">
        <f>'6.Cons Profit &amp; Loss'!H49</f>
        <v>3524280.2039528787</v>
      </c>
    </row>
    <row r="96" spans="2:10">
      <c r="B96" s="25" t="str">
        <f>B60</f>
        <v>Add: Deprication</v>
      </c>
      <c r="C96" s="25"/>
      <c r="D96" s="91">
        <f>'6.Cons Profit &amp; Loss'!B40</f>
        <v>81150.027851999999</v>
      </c>
      <c r="E96" s="91">
        <f>'6.Cons Profit &amp; Loss'!C40</f>
        <v>81150.027851999999</v>
      </c>
      <c r="F96" s="91">
        <f>'6.Cons Profit &amp; Loss'!D40</f>
        <v>81150.027851999999</v>
      </c>
      <c r="G96" s="91">
        <f>'6.Cons Profit &amp; Loss'!E40</f>
        <v>81150.027851999999</v>
      </c>
      <c r="H96" s="91">
        <f>'6.Cons Profit &amp; Loss'!F40</f>
        <v>81150.027851999999</v>
      </c>
      <c r="I96" s="91">
        <f>'6.Cons Profit &amp; Loss'!G40</f>
        <v>81150.027851999999</v>
      </c>
      <c r="J96" s="91">
        <f>'6.Cons Profit &amp; Loss'!H40</f>
        <v>81150.027851999999</v>
      </c>
    </row>
    <row r="97" spans="2:10">
      <c r="B97" s="25" t="str">
        <f>B61</f>
        <v>Add. Preliminary exp Written off</v>
      </c>
      <c r="C97" s="25"/>
      <c r="D97" s="91">
        <f>'6.Cons Profit &amp; Loss'!B41</f>
        <v>11000</v>
      </c>
      <c r="E97" s="91">
        <f>'6.Cons Profit &amp; Loss'!C41</f>
        <v>11000</v>
      </c>
      <c r="F97" s="91">
        <f>'6.Cons Profit &amp; Loss'!D41</f>
        <v>11000</v>
      </c>
      <c r="G97" s="91">
        <f>'6.Cons Profit &amp; Loss'!E41</f>
        <v>11000</v>
      </c>
      <c r="H97" s="91">
        <f>'6.Cons Profit &amp; Loss'!F41</f>
        <v>11000</v>
      </c>
      <c r="I97" s="91">
        <f>'6.Cons Profit &amp; Loss'!G41</f>
        <v>0</v>
      </c>
      <c r="J97" s="91">
        <f>'6.Cons Profit &amp; Loss'!H41</f>
        <v>0</v>
      </c>
    </row>
    <row r="98" spans="2:10">
      <c r="B98" s="25" t="str">
        <f>B63</f>
        <v xml:space="preserve">Net Cash Accrual (A)      </v>
      </c>
      <c r="C98" s="25"/>
      <c r="D98" s="254">
        <f>SUM(D95:D97)</f>
        <v>-652655.75007262197</v>
      </c>
      <c r="E98" s="254">
        <f t="shared" ref="E98:J98" si="10">SUM(E95:E97)</f>
        <v>516622.51516523666</v>
      </c>
      <c r="F98" s="254">
        <f t="shared" si="10"/>
        <v>1025055.7406777581</v>
      </c>
      <c r="G98" s="254">
        <f t="shared" si="10"/>
        <v>1584702.2955146155</v>
      </c>
      <c r="H98" s="254">
        <f t="shared" si="10"/>
        <v>2199146.7607103135</v>
      </c>
      <c r="I98" s="254">
        <f t="shared" si="10"/>
        <v>2869504.8514671274</v>
      </c>
      <c r="J98" s="254">
        <f t="shared" si="10"/>
        <v>3605430.2318048789</v>
      </c>
    </row>
    <row r="99" spans="2:10">
      <c r="B99" s="24" t="s">
        <v>282</v>
      </c>
      <c r="C99" s="107"/>
      <c r="D99" s="71">
        <f>D98-C94</f>
        <v>-6079316.5184686845</v>
      </c>
      <c r="E99" s="71">
        <f>D99+E98</f>
        <v>-5562694.0033034477</v>
      </c>
      <c r="F99" s="71">
        <f>E99+F98</f>
        <v>-4537638.2626256896</v>
      </c>
      <c r="G99" s="71">
        <f>F99+G98</f>
        <v>-2952935.9671110744</v>
      </c>
      <c r="H99" s="71">
        <f>G99+H98</f>
        <v>-753789.20640076092</v>
      </c>
      <c r="I99" s="92"/>
      <c r="J99" s="92"/>
    </row>
    <row r="100" spans="2:10">
      <c r="B100" s="7"/>
      <c r="C100" s="7"/>
      <c r="D100" s="7"/>
      <c r="E100" s="7"/>
      <c r="F100" s="7"/>
      <c r="G100" s="7"/>
      <c r="H100" s="7"/>
      <c r="I100" s="7"/>
      <c r="J100" s="7"/>
    </row>
    <row r="101" spans="2:10">
      <c r="B101" s="27" t="s">
        <v>283</v>
      </c>
      <c r="C101" s="7"/>
      <c r="D101" s="64">
        <f>4+(-G99/H98)</f>
        <v>5.342764393840314</v>
      </c>
      <c r="E101" s="7"/>
      <c r="F101" s="7"/>
      <c r="G101" s="7"/>
      <c r="H101" s="7"/>
      <c r="I101" s="7"/>
      <c r="J101" s="7"/>
    </row>
    <row r="102" spans="2:10">
      <c r="B102" s="7"/>
      <c r="C102" s="7"/>
      <c r="D102" s="7"/>
      <c r="E102" s="7"/>
      <c r="F102" s="7"/>
      <c r="G102" s="7"/>
      <c r="H102" s="7"/>
      <c r="I102" s="7"/>
      <c r="J102" s="7"/>
    </row>
    <row r="103" spans="2:10">
      <c r="B103" s="457" t="s">
        <v>429</v>
      </c>
      <c r="C103" s="457"/>
      <c r="D103" s="457"/>
      <c r="E103" s="457"/>
      <c r="F103" s="457"/>
      <c r="G103" s="457"/>
      <c r="H103" s="457"/>
      <c r="I103" s="457"/>
      <c r="J103" s="457"/>
    </row>
    <row r="105" spans="2:10" ht="18.75">
      <c r="B105" s="412" t="s">
        <v>559</v>
      </c>
      <c r="C105" s="412"/>
      <c r="D105" s="412"/>
      <c r="E105" s="412"/>
      <c r="F105" s="412"/>
      <c r="G105" s="412"/>
      <c r="H105" s="412"/>
      <c r="I105" s="412"/>
    </row>
    <row r="107" spans="2:10" ht="15.75">
      <c r="B107" s="72" t="s">
        <v>0</v>
      </c>
      <c r="C107" s="72" t="s">
        <v>2</v>
      </c>
      <c r="D107" s="72" t="s">
        <v>3</v>
      </c>
      <c r="E107" s="72" t="s">
        <v>4</v>
      </c>
      <c r="F107" s="72" t="s">
        <v>5</v>
      </c>
      <c r="G107" s="72" t="s">
        <v>6</v>
      </c>
      <c r="H107" s="72" t="s">
        <v>167</v>
      </c>
      <c r="I107" s="72" t="s">
        <v>166</v>
      </c>
    </row>
    <row r="108" spans="2:10" ht="15.75">
      <c r="B108" s="69"/>
      <c r="C108" s="70"/>
      <c r="D108" s="70"/>
      <c r="E108" s="70"/>
      <c r="F108" s="70"/>
      <c r="G108" s="70"/>
      <c r="H108" s="70"/>
      <c r="I108" s="70"/>
    </row>
    <row r="109" spans="2:10">
      <c r="B109" s="94" t="s">
        <v>338</v>
      </c>
      <c r="C109" s="95">
        <f>'6.Cons Profit &amp; Loss'!B38</f>
        <v>-408900.87406250276</v>
      </c>
      <c r="D109" s="95">
        <f>'6.Cons Profit &amp; Loss'!C38</f>
        <v>1549477.2660796866</v>
      </c>
      <c r="E109" s="95">
        <f>'6.Cons Profit &amp; Loss'!D38</f>
        <v>2423717.4035418741</v>
      </c>
      <c r="F109" s="95">
        <f>'6.Cons Profit &amp; Loss'!E38</f>
        <v>3381507.8615850769</v>
      </c>
      <c r="G109" s="95">
        <f>'6.Cons Profit &amp; Loss'!F38</f>
        <v>4429018.0719237439</v>
      </c>
      <c r="H109" s="95">
        <f>'6.Cons Profit &amp; Loss'!G38</f>
        <v>5572825.5336423293</v>
      </c>
      <c r="I109" s="95">
        <f>'6.Cons Profit &amp; Loss'!H38</f>
        <v>6819941.1963529736</v>
      </c>
    </row>
    <row r="110" spans="2:10">
      <c r="B110" s="94" t="s">
        <v>348</v>
      </c>
      <c r="C110" s="95">
        <f>'6.Cons Profit &amp; Loss'!B40</f>
        <v>81150.027851999999</v>
      </c>
      <c r="D110" s="95">
        <f>'6.Cons Profit &amp; Loss'!C40</f>
        <v>81150.027851999999</v>
      </c>
      <c r="E110" s="95">
        <f>'6.Cons Profit &amp; Loss'!D40</f>
        <v>81150.027851999999</v>
      </c>
      <c r="F110" s="95">
        <f>'6.Cons Profit &amp; Loss'!E40</f>
        <v>81150.027851999999</v>
      </c>
      <c r="G110" s="95">
        <f>'6.Cons Profit &amp; Loss'!F40</f>
        <v>81150.027851999999</v>
      </c>
      <c r="H110" s="95">
        <f>'6.Cons Profit &amp; Loss'!G40</f>
        <v>81150.027851999999</v>
      </c>
      <c r="I110" s="95">
        <f>'6.Cons Profit &amp; Loss'!H40</f>
        <v>81150.027851999999</v>
      </c>
    </row>
    <row r="111" spans="2:10">
      <c r="B111" s="94" t="s">
        <v>349</v>
      </c>
      <c r="C111" s="95">
        <f>'6.Cons Profit &amp; Loss'!B41</f>
        <v>11000</v>
      </c>
      <c r="D111" s="95">
        <f>'6.Cons Profit &amp; Loss'!C41</f>
        <v>11000</v>
      </c>
      <c r="E111" s="95">
        <f>'6.Cons Profit &amp; Loss'!D41</f>
        <v>11000</v>
      </c>
      <c r="F111" s="95">
        <f>'6.Cons Profit &amp; Loss'!E41</f>
        <v>11000</v>
      </c>
      <c r="G111" s="95">
        <f>'6.Cons Profit &amp; Loss'!F41</f>
        <v>11000</v>
      </c>
      <c r="H111" s="95">
        <f>'6.Cons Profit &amp; Loss'!G41</f>
        <v>0</v>
      </c>
      <c r="I111" s="95">
        <f>'6.Cons Profit &amp; Loss'!H41</f>
        <v>0</v>
      </c>
    </row>
    <row r="112" spans="2:10">
      <c r="B112" s="94" t="s">
        <v>350</v>
      </c>
      <c r="C112" s="95">
        <f>'8.Cash Flow '!C26</f>
        <v>0</v>
      </c>
      <c r="D112" s="95">
        <f>'8.Cash Flow '!D26</f>
        <v>0</v>
      </c>
      <c r="E112" s="95">
        <f>'8.Cash Flow '!E26</f>
        <v>0</v>
      </c>
      <c r="F112" s="95">
        <f>'8.Cash Flow '!F26</f>
        <v>0</v>
      </c>
      <c r="G112" s="95">
        <f>'8.Cash Flow '!G26</f>
        <v>0</v>
      </c>
      <c r="H112" s="95">
        <f>'8.Cash Flow '!H26</f>
        <v>0</v>
      </c>
      <c r="I112" s="95">
        <f>'8.Cash Flow '!I26</f>
        <v>0</v>
      </c>
    </row>
    <row r="113" spans="2:18">
      <c r="B113" s="96" t="s">
        <v>1</v>
      </c>
      <c r="C113" s="97">
        <f>SUM(C109:C112)</f>
        <v>-316750.84621050279</v>
      </c>
      <c r="D113" s="97">
        <f t="shared" ref="D113:I113" si="11">SUM(D109:D112)</f>
        <v>1641627.2939316866</v>
      </c>
      <c r="E113" s="97">
        <f t="shared" si="11"/>
        <v>2515867.4313938743</v>
      </c>
      <c r="F113" s="97">
        <f t="shared" si="11"/>
        <v>3473657.8894370771</v>
      </c>
      <c r="G113" s="97">
        <f t="shared" si="11"/>
        <v>4521168.0997757437</v>
      </c>
      <c r="H113" s="97">
        <f t="shared" si="11"/>
        <v>5653975.561494329</v>
      </c>
      <c r="I113" s="97">
        <f t="shared" si="11"/>
        <v>6901091.2242049733</v>
      </c>
    </row>
    <row r="114" spans="2:18">
      <c r="B114" s="94"/>
      <c r="C114" s="94"/>
      <c r="D114" s="94"/>
      <c r="E114" s="94"/>
      <c r="F114" s="94"/>
      <c r="G114" s="94"/>
      <c r="H114" s="94"/>
      <c r="I114" s="94"/>
    </row>
    <row r="115" spans="2:18">
      <c r="B115" s="98" t="s">
        <v>284</v>
      </c>
      <c r="C115" s="99">
        <f>'8.Cash Flow '!C25+'8.Cash Flow '!C26</f>
        <v>0</v>
      </c>
      <c r="D115" s="99">
        <f>'8.Cash Flow '!D25+'8.Cash Flow '!D26</f>
        <v>0</v>
      </c>
      <c r="E115" s="99">
        <f>'8.Cash Flow '!E25+'8.Cash Flow '!E26</f>
        <v>0</v>
      </c>
      <c r="F115" s="99">
        <f>'8.Cash Flow '!F25+'8.Cash Flow '!F26</f>
        <v>0</v>
      </c>
      <c r="G115" s="99">
        <f>'8.Cash Flow '!G25+'8.Cash Flow '!G26</f>
        <v>0</v>
      </c>
      <c r="H115" s="99">
        <f>'8.Cash Flow '!H25+'8.Cash Flow '!H26</f>
        <v>0</v>
      </c>
      <c r="I115" s="99">
        <f>'8.Cash Flow '!I25+'8.Cash Flow '!I26</f>
        <v>0</v>
      </c>
    </row>
    <row r="116" spans="2:18">
      <c r="B116" s="94"/>
      <c r="C116" s="94"/>
      <c r="D116" s="94"/>
      <c r="E116" s="94"/>
      <c r="F116" s="94"/>
      <c r="G116" s="94"/>
      <c r="H116" s="94"/>
      <c r="I116" s="94"/>
    </row>
    <row r="117" spans="2:18">
      <c r="B117" s="100" t="s">
        <v>336</v>
      </c>
      <c r="C117" s="101" t="e">
        <f>C113/C115</f>
        <v>#DIV/0!</v>
      </c>
      <c r="D117" s="101" t="e">
        <f t="shared" ref="D117:I117" si="12">D113/D115</f>
        <v>#DIV/0!</v>
      </c>
      <c r="E117" s="101" t="e">
        <f t="shared" si="12"/>
        <v>#DIV/0!</v>
      </c>
      <c r="F117" s="101" t="e">
        <f t="shared" si="12"/>
        <v>#DIV/0!</v>
      </c>
      <c r="G117" s="101" t="e">
        <f t="shared" si="12"/>
        <v>#DIV/0!</v>
      </c>
      <c r="H117" s="101" t="e">
        <f t="shared" si="12"/>
        <v>#DIV/0!</v>
      </c>
      <c r="I117" s="101" t="e">
        <f t="shared" si="12"/>
        <v>#DIV/0!</v>
      </c>
    </row>
    <row r="118" spans="2:18">
      <c r="B118" s="93"/>
      <c r="C118" s="93"/>
      <c r="D118" s="93"/>
      <c r="E118" s="93"/>
      <c r="F118" s="93"/>
      <c r="G118" s="93"/>
      <c r="H118" s="93"/>
      <c r="I118" s="93"/>
    </row>
    <row r="119" spans="2:18">
      <c r="B119" s="93" t="s">
        <v>337</v>
      </c>
      <c r="C119" s="102" t="e">
        <f>AVERAGE(C117:I117)</f>
        <v>#DIV/0!</v>
      </c>
      <c r="D119" s="93"/>
      <c r="E119" s="93"/>
      <c r="F119" s="93"/>
      <c r="G119" s="93"/>
      <c r="H119" s="93"/>
      <c r="I119" s="93"/>
    </row>
    <row r="121" spans="2:18" ht="29.45" customHeight="1">
      <c r="B121" s="419" t="s">
        <v>430</v>
      </c>
      <c r="C121" s="419"/>
      <c r="D121" s="419"/>
      <c r="E121" s="419"/>
      <c r="F121" s="419"/>
      <c r="G121" s="419"/>
      <c r="H121" s="419"/>
      <c r="I121" s="419"/>
      <c r="J121" s="419"/>
    </row>
    <row r="123" spans="2:18" ht="21">
      <c r="B123" s="453" t="s">
        <v>560</v>
      </c>
      <c r="C123" s="454"/>
      <c r="D123" s="454"/>
      <c r="E123" s="454"/>
      <c r="F123" s="454"/>
      <c r="G123" s="454"/>
      <c r="H123" s="454"/>
      <c r="I123" s="454"/>
      <c r="K123" s="416"/>
      <c r="L123" s="416"/>
      <c r="M123" s="416"/>
      <c r="N123" s="416"/>
      <c r="O123" s="416"/>
      <c r="P123" s="416"/>
      <c r="Q123" s="416"/>
      <c r="R123" s="416"/>
    </row>
    <row r="124" spans="2:18">
      <c r="B124" s="82" t="s">
        <v>351</v>
      </c>
      <c r="C124" s="83" t="s">
        <v>2</v>
      </c>
      <c r="D124" s="83" t="s">
        <v>3</v>
      </c>
      <c r="E124" s="83" t="s">
        <v>4</v>
      </c>
      <c r="F124" s="83" t="s">
        <v>5</v>
      </c>
      <c r="G124" s="83" t="s">
        <v>6</v>
      </c>
      <c r="H124" s="83" t="s">
        <v>167</v>
      </c>
      <c r="I124" s="83" t="s">
        <v>166</v>
      </c>
    </row>
    <row r="125" spans="2:18">
      <c r="B125" s="74" t="str">
        <f>'6.Cons Profit &amp; Loss'!A6</f>
        <v>Faclitiy 1 - Trading Activity</v>
      </c>
      <c r="C125" s="323">
        <f>'6.Cons Profit &amp; Loss'!B6*(1+$M$126)</f>
        <v>9990503.1485999972</v>
      </c>
      <c r="D125" s="323">
        <f>'6.Cons Profit &amp; Loss'!C6*(1+$M$126)</f>
        <v>19194350.032304995</v>
      </c>
      <c r="E125" s="323">
        <f>'6.Cons Profit &amp; Loss'!D6*(1+$M$126)</f>
        <v>23207119.630647749</v>
      </c>
      <c r="F125" s="323">
        <f>'6.Cons Profit &amp; Loss'!E6*(1+$M$126)</f>
        <v>27573180.313744009</v>
      </c>
      <c r="G125" s="323">
        <f>'6.Cons Profit &amp; Loss'!F6*(1+$M$126)</f>
        <v>32317829.266073279</v>
      </c>
      <c r="H125" s="323">
        <f>'6.Cons Profit &amp; Loss'!G6*(1+$M$126)</f>
        <v>37468010.162851118</v>
      </c>
      <c r="I125" s="323">
        <f>'6.Cons Profit &amp; Loss'!H6*(1+$M$126)</f>
        <v>43052414.576141566</v>
      </c>
    </row>
    <row r="126" spans="2:18">
      <c r="B126" s="74" t="str">
        <f>'6.Cons Profit &amp; Loss'!A7</f>
        <v>Faclitiy 2 - Processing Unit- Cleaning, Grading</v>
      </c>
      <c r="C126" s="323">
        <f>'6.Cons Profit &amp; Loss'!B7*(1+$M$126)</f>
        <v>483573.74622000003</v>
      </c>
      <c r="D126" s="323">
        <f>'6.Cons Profit &amp; Loss'!C7*(1+$M$126)</f>
        <v>783577.92640050012</v>
      </c>
      <c r="E126" s="323">
        <f>'6.Cons Profit &amp; Loss'!D7*(1+$M$126)</f>
        <v>1100850.2202788999</v>
      </c>
      <c r="F126" s="323">
        <f>'6.Cons Profit &amp; Loss'!E7*(1+$M$126)</f>
        <v>1447890.7987291389</v>
      </c>
      <c r="G126" s="323">
        <f>'6.Cons Profit &amp; Loss'!F7*(1+$M$126)</f>
        <v>1826883.3094737048</v>
      </c>
      <c r="H126" s="323">
        <f>'6.Cons Profit &amp; Loss'!G7*(1+$M$126)</f>
        <v>2240155.344295904</v>
      </c>
      <c r="I126" s="323">
        <f>'6.Cons Profit &amp; Loss'!H7*(1+$M$126)</f>
        <v>2690187.3743266389</v>
      </c>
      <c r="L126" s="5" t="s">
        <v>369</v>
      </c>
      <c r="M126" s="263">
        <v>0.03</v>
      </c>
    </row>
    <row r="127" spans="2:18">
      <c r="B127" s="74" t="str">
        <f>'6.Cons Profit &amp; Loss'!A8</f>
        <v>Faclitiy 3 - Warehouse</v>
      </c>
      <c r="C127" s="323">
        <f>'6.Cons Profit &amp; Loss'!B8*(1+$M$126)</f>
        <v>0</v>
      </c>
      <c r="D127" s="323">
        <f>'6.Cons Profit &amp; Loss'!C8*(1+$M$126)</f>
        <v>0</v>
      </c>
      <c r="E127" s="323">
        <f>'6.Cons Profit &amp; Loss'!D8*(1+$M$126)</f>
        <v>0</v>
      </c>
      <c r="F127" s="323">
        <f>'6.Cons Profit &amp; Loss'!E8*(1+$M$126)</f>
        <v>0</v>
      </c>
      <c r="G127" s="323">
        <f>'6.Cons Profit &amp; Loss'!F8*(1+$M$126)</f>
        <v>0</v>
      </c>
      <c r="H127" s="323">
        <f>'6.Cons Profit &amp; Loss'!G8*(1+$M$126)</f>
        <v>0</v>
      </c>
      <c r="I127" s="323">
        <f>'6.Cons Profit &amp; Loss'!H8*(1+$M$126)</f>
        <v>0</v>
      </c>
      <c r="L127" s="5" t="s">
        <v>370</v>
      </c>
      <c r="M127" s="263">
        <v>0.03</v>
      </c>
    </row>
    <row r="128" spans="2:18">
      <c r="B128" s="74" t="str">
        <f>'6.Cons Profit &amp; Loss'!A9</f>
        <v xml:space="preserve">Faclitiy 4 - Custom Hiring </v>
      </c>
      <c r="C128" s="323">
        <f>'6.Cons Profit &amp; Loss'!B9*(1+$M$126)</f>
        <v>0</v>
      </c>
      <c r="D128" s="323">
        <f>'6.Cons Profit &amp; Loss'!C9*(1+$M$126)</f>
        <v>0</v>
      </c>
      <c r="E128" s="323">
        <f>'6.Cons Profit &amp; Loss'!D9*(1+$M$126)</f>
        <v>0</v>
      </c>
      <c r="F128" s="323">
        <f>'6.Cons Profit &amp; Loss'!E9*(1+$M$126)</f>
        <v>0</v>
      </c>
      <c r="G128" s="323">
        <f>'6.Cons Profit &amp; Loss'!F9*(1+$M$126)</f>
        <v>0</v>
      </c>
      <c r="H128" s="323">
        <f>'6.Cons Profit &amp; Loss'!G9*(1+$M$126)</f>
        <v>0</v>
      </c>
      <c r="I128" s="323">
        <f>'6.Cons Profit &amp; Loss'!H9*(1+$M$126)</f>
        <v>0</v>
      </c>
    </row>
    <row r="129" spans="2:9">
      <c r="B129" s="74" t="str">
        <f>'6.Cons Profit &amp; Loss'!A10</f>
        <v>Faclitiy 5 - Agri Input Centre</v>
      </c>
      <c r="C129" s="323">
        <f>'6.Cons Profit &amp; Loss'!B10*(1+$M$126)</f>
        <v>0</v>
      </c>
      <c r="D129" s="323">
        <f>'6.Cons Profit &amp; Loss'!C10*(1+$M$126)</f>
        <v>0</v>
      </c>
      <c r="E129" s="323">
        <f>'6.Cons Profit &amp; Loss'!D10*(1+$M$126)</f>
        <v>0</v>
      </c>
      <c r="F129" s="323">
        <f>'6.Cons Profit &amp; Loss'!E10*(1+$M$126)</f>
        <v>0</v>
      </c>
      <c r="G129" s="323">
        <f>'6.Cons Profit &amp; Loss'!F10*(1+$M$126)</f>
        <v>0</v>
      </c>
      <c r="H129" s="323">
        <f>'6.Cons Profit &amp; Loss'!G10*(1+$M$126)</f>
        <v>0</v>
      </c>
      <c r="I129" s="323">
        <f>'6.Cons Profit &amp; Loss'!H10*(1+$M$126)</f>
        <v>0</v>
      </c>
    </row>
    <row r="130" spans="2:9">
      <c r="B130" s="74" t="str">
        <f>'6.Cons Profit &amp; Loss'!A11</f>
        <v>Facility 6 - Processing Unit - Horti Commodity</v>
      </c>
      <c r="C130" s="323">
        <f>'6.Cons Profit &amp; Loss'!B11*(1+$M$126)</f>
        <v>0</v>
      </c>
      <c r="D130" s="323">
        <f>'6.Cons Profit &amp; Loss'!C11*(1+$M$126)</f>
        <v>0</v>
      </c>
      <c r="E130" s="323">
        <f>'6.Cons Profit &amp; Loss'!D11*(1+$M$126)</f>
        <v>0</v>
      </c>
      <c r="F130" s="323">
        <f>'6.Cons Profit &amp; Loss'!E11*(1+$M$126)</f>
        <v>0</v>
      </c>
      <c r="G130" s="323">
        <f>'6.Cons Profit &amp; Loss'!F11*(1+$M$126)</f>
        <v>0</v>
      </c>
      <c r="H130" s="323">
        <f>'6.Cons Profit &amp; Loss'!G11*(1+$M$126)</f>
        <v>0</v>
      </c>
      <c r="I130" s="323">
        <f>'6.Cons Profit &amp; Loss'!H11*(1+$M$126)</f>
        <v>0</v>
      </c>
    </row>
    <row r="131" spans="2:9">
      <c r="B131" s="74">
        <f>'6.Cons Profit &amp; Loss'!A12</f>
        <v>0</v>
      </c>
      <c r="C131" s="323">
        <f>'6.Cons Profit &amp; Loss'!B12*(1+$M$126)</f>
        <v>0</v>
      </c>
      <c r="D131" s="323">
        <f>'6.Cons Profit &amp; Loss'!C12*(1+$M$126)</f>
        <v>0</v>
      </c>
      <c r="E131" s="323">
        <f>'6.Cons Profit &amp; Loss'!D12*(1+$M$126)</f>
        <v>0</v>
      </c>
      <c r="F131" s="323">
        <f>'6.Cons Profit &amp; Loss'!E12*(1+$M$126)</f>
        <v>0</v>
      </c>
      <c r="G131" s="323">
        <f>'6.Cons Profit &amp; Loss'!F12*(1+$M$126)</f>
        <v>0</v>
      </c>
      <c r="H131" s="323">
        <f>'6.Cons Profit &amp; Loss'!G12*(1+$M$126)</f>
        <v>0</v>
      </c>
      <c r="I131" s="323">
        <f>'6.Cons Profit &amp; Loss'!H12*(1+$M$126)</f>
        <v>0</v>
      </c>
    </row>
    <row r="132" spans="2:9">
      <c r="B132" s="74" t="s">
        <v>352</v>
      </c>
      <c r="C132" s="323">
        <f>SUM(C125:C131)</f>
        <v>10474076.894819997</v>
      </c>
      <c r="D132" s="323">
        <f t="shared" ref="D132:I132" si="13">SUM(D125:D131)</f>
        <v>19977927.958705496</v>
      </c>
      <c r="E132" s="323">
        <f t="shared" si="13"/>
        <v>24307969.850926649</v>
      </c>
      <c r="F132" s="323">
        <f t="shared" si="13"/>
        <v>29021071.112473149</v>
      </c>
      <c r="G132" s="323">
        <f t="shared" si="13"/>
        <v>34144712.575546987</v>
      </c>
      <c r="H132" s="323">
        <f t="shared" si="13"/>
        <v>39708165.507147022</v>
      </c>
      <c r="I132" s="323">
        <f t="shared" si="13"/>
        <v>45742601.950468205</v>
      </c>
    </row>
    <row r="133" spans="2:9">
      <c r="B133" s="74" t="s">
        <v>353</v>
      </c>
      <c r="C133" s="323"/>
      <c r="D133" s="323"/>
      <c r="E133" s="323"/>
      <c r="F133" s="323"/>
      <c r="G133" s="323"/>
      <c r="H133" s="323"/>
      <c r="I133" s="323"/>
    </row>
    <row r="134" spans="2:9">
      <c r="B134" s="74" t="s">
        <v>354</v>
      </c>
      <c r="C134" s="323">
        <f>'6.Cons Profit &amp; Loss'!B34</f>
        <v>2507000</v>
      </c>
      <c r="D134" s="323">
        <f>'6.Cons Profit &amp; Loss'!C34</f>
        <v>2632350</v>
      </c>
      <c r="E134" s="323">
        <f>'6.Cons Profit &amp; Loss'!D34</f>
        <v>2763967.5</v>
      </c>
      <c r="F134" s="323">
        <f>'6.Cons Profit &amp; Loss'!E34</f>
        <v>2902165.8750000005</v>
      </c>
      <c r="G134" s="323">
        <f>'6.Cons Profit &amp; Loss'!F34</f>
        <v>3047274.1687500007</v>
      </c>
      <c r="H134" s="323">
        <f>'6.Cons Profit &amp; Loss'!G34</f>
        <v>3199637.8771875007</v>
      </c>
      <c r="I134" s="323">
        <f>'6.Cons Profit &amp; Loss'!H34</f>
        <v>3359619.771046876</v>
      </c>
    </row>
    <row r="135" spans="2:9">
      <c r="B135" s="74" t="s">
        <v>312</v>
      </c>
      <c r="C135" s="323">
        <f>'6.Cons Profit &amp; Loss'!B23*(1+M126)</f>
        <v>8313034.795104376</v>
      </c>
      <c r="D135" s="323">
        <f>'6.Cons Profit &amp; Loss'!C23*(1+N126)</f>
        <v>15214219.295770312</v>
      </c>
      <c r="E135" s="323">
        <f>'6.Cons Profit &amp; Loss'!D23*(1+O126)</f>
        <v>18412285.825513121</v>
      </c>
      <c r="F135" s="323">
        <f>'6.Cons Profit &amp; Loss'!E23*(1+P126)</f>
        <v>21892123.459990792</v>
      </c>
      <c r="G135" s="323">
        <f>'6.Cons Profit &amp; Loss'!F23*(1+Q126)</f>
        <v>25673914.143352453</v>
      </c>
      <c r="H135" s="323">
        <f>'6.Cons Profit &amp; Loss'!G23*(1+R126)</f>
        <v>29779153.586400289</v>
      </c>
      <c r="I135" s="323">
        <f>'6.Cons Profit &amp; Loss'!H23*(1+S126)</f>
        <v>34230732.188394524</v>
      </c>
    </row>
    <row r="136" spans="2:9">
      <c r="B136" s="74" t="s">
        <v>355</v>
      </c>
      <c r="C136" s="323">
        <f t="shared" ref="C136:I136" si="14">SUM(C134:C135)</f>
        <v>10820034.795104377</v>
      </c>
      <c r="D136" s="323">
        <f t="shared" si="14"/>
        <v>17846569.29577031</v>
      </c>
      <c r="E136" s="323">
        <f t="shared" si="14"/>
        <v>21176253.325513121</v>
      </c>
      <c r="F136" s="323">
        <f t="shared" si="14"/>
        <v>24794289.334990792</v>
      </c>
      <c r="G136" s="323">
        <f t="shared" si="14"/>
        <v>28721188.312102452</v>
      </c>
      <c r="H136" s="323">
        <f t="shared" si="14"/>
        <v>32978791.463587791</v>
      </c>
      <c r="I136" s="323">
        <f t="shared" si="14"/>
        <v>37590351.959441401</v>
      </c>
    </row>
    <row r="137" spans="2:9">
      <c r="B137" s="77" t="s">
        <v>356</v>
      </c>
      <c r="C137" s="325">
        <f t="shared" ref="C137:I137" si="15">+C132-C136</f>
        <v>-345957.90028437972</v>
      </c>
      <c r="D137" s="325">
        <f t="shared" si="15"/>
        <v>2131358.6629351862</v>
      </c>
      <c r="E137" s="325">
        <f t="shared" si="15"/>
        <v>3131716.5254135281</v>
      </c>
      <c r="F137" s="325">
        <f t="shared" si="15"/>
        <v>4226781.7774823569</v>
      </c>
      <c r="G137" s="325">
        <f t="shared" si="15"/>
        <v>5423524.2634445354</v>
      </c>
      <c r="H137" s="325">
        <f t="shared" si="15"/>
        <v>6729374.0435592309</v>
      </c>
      <c r="I137" s="325">
        <f t="shared" si="15"/>
        <v>8152249.9910268039</v>
      </c>
    </row>
    <row r="138" spans="2:9">
      <c r="B138" s="79"/>
      <c r="C138" s="80"/>
      <c r="D138" s="80"/>
      <c r="E138" s="80"/>
      <c r="F138" s="80"/>
      <c r="G138" s="80"/>
      <c r="H138" s="80"/>
      <c r="I138" s="80"/>
    </row>
    <row r="139" spans="2:9">
      <c r="B139" s="82" t="s">
        <v>357</v>
      </c>
      <c r="C139" s="83" t="s">
        <v>2</v>
      </c>
      <c r="D139" s="83" t="s">
        <v>3</v>
      </c>
      <c r="E139" s="83" t="s">
        <v>4</v>
      </c>
      <c r="F139" s="83" t="s">
        <v>5</v>
      </c>
      <c r="G139" s="83" t="s">
        <v>6</v>
      </c>
      <c r="H139" s="83" t="s">
        <v>167</v>
      </c>
      <c r="I139" s="83" t="s">
        <v>166</v>
      </c>
    </row>
    <row r="140" spans="2:9">
      <c r="B140" s="74" t="str">
        <f t="shared" ref="B140:B146" si="16">B125</f>
        <v>Faclitiy 1 - Trading Activity</v>
      </c>
      <c r="C140" s="76">
        <f>'6.Cons Profit &amp; Loss'!B6</f>
        <v>9699517.6199999973</v>
      </c>
      <c r="D140" s="76">
        <f>'6.Cons Profit &amp; Loss'!C6</f>
        <v>18635291.293499995</v>
      </c>
      <c r="E140" s="76">
        <f>'6.Cons Profit &amp; Loss'!D6</f>
        <v>22531184.107424997</v>
      </c>
      <c r="F140" s="76">
        <f>'6.Cons Profit &amp; Loss'!E6</f>
        <v>26770077.974508744</v>
      </c>
      <c r="G140" s="76">
        <f>'6.Cons Profit &amp; Loss'!F6</f>
        <v>31376533.268032309</v>
      </c>
      <c r="H140" s="76">
        <f>'6.Cons Profit &amp; Loss'!G6</f>
        <v>36376708.895971961</v>
      </c>
      <c r="I140" s="76">
        <f>'6.Cons Profit &amp; Loss'!H6</f>
        <v>41798460.753535502</v>
      </c>
    </row>
    <row r="141" spans="2:9">
      <c r="B141" s="74" t="str">
        <f t="shared" si="16"/>
        <v>Faclitiy 2 - Processing Unit- Cleaning, Grading</v>
      </c>
      <c r="C141" s="76">
        <f>'6.Cons Profit &amp; Loss'!B7</f>
        <v>469489.07400000002</v>
      </c>
      <c r="D141" s="76">
        <f>'6.Cons Profit &amp; Loss'!C7</f>
        <v>760755.26835000014</v>
      </c>
      <c r="E141" s="76">
        <f>'6.Cons Profit &amp; Loss'!D7</f>
        <v>1068786.62163</v>
      </c>
      <c r="F141" s="76">
        <f>'6.Cons Profit &amp; Loss'!E7</f>
        <v>1405719.2220671251</v>
      </c>
      <c r="G141" s="76">
        <f>'6.Cons Profit &amp; Loss'!F7</f>
        <v>1773673.1159938881</v>
      </c>
      <c r="H141" s="76">
        <f>'6.Cons Profit &amp; Loss'!G7</f>
        <v>2174908.1012581591</v>
      </c>
      <c r="I141" s="76">
        <f>'6.Cons Profit &amp; Loss'!H7</f>
        <v>2611832.4022588725</v>
      </c>
    </row>
    <row r="142" spans="2:9">
      <c r="B142" s="74" t="str">
        <f t="shared" si="16"/>
        <v>Faclitiy 3 - Warehouse</v>
      </c>
      <c r="C142" s="76">
        <f>'6.Cons Profit &amp; Loss'!B8</f>
        <v>0</v>
      </c>
      <c r="D142" s="76">
        <f>'6.Cons Profit &amp; Loss'!C8</f>
        <v>0</v>
      </c>
      <c r="E142" s="76">
        <f>'6.Cons Profit &amp; Loss'!D8</f>
        <v>0</v>
      </c>
      <c r="F142" s="76">
        <f>'6.Cons Profit &amp; Loss'!E8</f>
        <v>0</v>
      </c>
      <c r="G142" s="76">
        <f>'6.Cons Profit &amp; Loss'!F8</f>
        <v>0</v>
      </c>
      <c r="H142" s="76">
        <f>'6.Cons Profit &amp; Loss'!G8</f>
        <v>0</v>
      </c>
      <c r="I142" s="76">
        <f>'6.Cons Profit &amp; Loss'!H8</f>
        <v>0</v>
      </c>
    </row>
    <row r="143" spans="2:9">
      <c r="B143" s="74" t="str">
        <f t="shared" si="16"/>
        <v xml:space="preserve">Faclitiy 4 - Custom Hiring </v>
      </c>
      <c r="C143" s="76">
        <f>'6.Cons Profit &amp; Loss'!B9</f>
        <v>0</v>
      </c>
      <c r="D143" s="76">
        <f>'6.Cons Profit &amp; Loss'!C9</f>
        <v>0</v>
      </c>
      <c r="E143" s="76">
        <f>'6.Cons Profit &amp; Loss'!D9</f>
        <v>0</v>
      </c>
      <c r="F143" s="76">
        <f>'6.Cons Profit &amp; Loss'!E9</f>
        <v>0</v>
      </c>
      <c r="G143" s="76">
        <f>'6.Cons Profit &amp; Loss'!F9</f>
        <v>0</v>
      </c>
      <c r="H143" s="76">
        <f>'6.Cons Profit &amp; Loss'!G9</f>
        <v>0</v>
      </c>
      <c r="I143" s="76">
        <f>'6.Cons Profit &amp; Loss'!H9</f>
        <v>0</v>
      </c>
    </row>
    <row r="144" spans="2:9">
      <c r="B144" s="74" t="str">
        <f t="shared" si="16"/>
        <v>Faclitiy 5 - Agri Input Centre</v>
      </c>
      <c r="C144" s="76">
        <f>'6.Cons Profit &amp; Loss'!B10</f>
        <v>0</v>
      </c>
      <c r="D144" s="76">
        <f>'6.Cons Profit &amp; Loss'!C10</f>
        <v>0</v>
      </c>
      <c r="E144" s="76">
        <f>'6.Cons Profit &amp; Loss'!D10</f>
        <v>0</v>
      </c>
      <c r="F144" s="76">
        <f>'6.Cons Profit &amp; Loss'!E10</f>
        <v>0</v>
      </c>
      <c r="G144" s="76">
        <f>'6.Cons Profit &amp; Loss'!F10</f>
        <v>0</v>
      </c>
      <c r="H144" s="76">
        <f>'6.Cons Profit &amp; Loss'!G10</f>
        <v>0</v>
      </c>
      <c r="I144" s="76">
        <f>'6.Cons Profit &amp; Loss'!H10</f>
        <v>0</v>
      </c>
    </row>
    <row r="145" spans="2:15">
      <c r="B145" s="74" t="str">
        <f t="shared" si="16"/>
        <v>Facility 6 - Processing Unit - Horti Commodity</v>
      </c>
      <c r="C145" s="76">
        <f>'6.Cons Profit &amp; Loss'!B11</f>
        <v>0</v>
      </c>
      <c r="D145" s="76">
        <f>'6.Cons Profit &amp; Loss'!C11</f>
        <v>0</v>
      </c>
      <c r="E145" s="76">
        <f>'6.Cons Profit &amp; Loss'!D11</f>
        <v>0</v>
      </c>
      <c r="F145" s="76">
        <f>'6.Cons Profit &amp; Loss'!E11</f>
        <v>0</v>
      </c>
      <c r="G145" s="76">
        <f>'6.Cons Profit &amp; Loss'!F11</f>
        <v>0</v>
      </c>
      <c r="H145" s="76">
        <f>'6.Cons Profit &amp; Loss'!G11</f>
        <v>0</v>
      </c>
      <c r="I145" s="76">
        <f>'6.Cons Profit &amp; Loss'!H11</f>
        <v>0</v>
      </c>
    </row>
    <row r="146" spans="2:15">
      <c r="B146" s="74">
        <f t="shared" si="16"/>
        <v>0</v>
      </c>
      <c r="C146" s="76">
        <f>'6.Cons Profit &amp; Loss'!B12</f>
        <v>0</v>
      </c>
      <c r="D146" s="76">
        <f>'6.Cons Profit &amp; Loss'!C12</f>
        <v>0</v>
      </c>
      <c r="E146" s="76">
        <f>'6.Cons Profit &amp; Loss'!D12</f>
        <v>0</v>
      </c>
      <c r="F146" s="76">
        <f>'6.Cons Profit &amp; Loss'!E12</f>
        <v>0</v>
      </c>
      <c r="G146" s="76">
        <f>'6.Cons Profit &amp; Loss'!F12</f>
        <v>0</v>
      </c>
      <c r="H146" s="76">
        <f>'6.Cons Profit &amp; Loss'!G12</f>
        <v>0</v>
      </c>
      <c r="I146" s="76">
        <f>'6.Cons Profit &amp; Loss'!H12</f>
        <v>0</v>
      </c>
    </row>
    <row r="147" spans="2:15">
      <c r="B147" s="74" t="s">
        <v>352</v>
      </c>
      <c r="C147" s="76">
        <f>SUM(C140:C146)</f>
        <v>10169006.693999998</v>
      </c>
      <c r="D147" s="76">
        <f t="shared" ref="D147:I147" si="17">SUM(D140:D146)</f>
        <v>19396046.561849996</v>
      </c>
      <c r="E147" s="76">
        <f t="shared" si="17"/>
        <v>23599970.729054995</v>
      </c>
      <c r="F147" s="76">
        <f t="shared" si="17"/>
        <v>28175797.196575869</v>
      </c>
      <c r="G147" s="76">
        <f t="shared" si="17"/>
        <v>33150206.384026196</v>
      </c>
      <c r="H147" s="76">
        <f t="shared" si="17"/>
        <v>38551616.99723012</v>
      </c>
      <c r="I147" s="76">
        <f t="shared" si="17"/>
        <v>44410293.155794375</v>
      </c>
    </row>
    <row r="148" spans="2:15">
      <c r="B148" s="74" t="s">
        <v>353</v>
      </c>
      <c r="C148" s="81"/>
      <c r="D148" s="76"/>
      <c r="E148" s="76"/>
      <c r="F148" s="76"/>
      <c r="G148" s="76"/>
      <c r="H148" s="76"/>
      <c r="I148" s="76"/>
    </row>
    <row r="149" spans="2:15">
      <c r="B149" s="74" t="s">
        <v>354</v>
      </c>
      <c r="C149" s="75">
        <f>'6.Cons Profit &amp; Loss'!B34</f>
        <v>2507000</v>
      </c>
      <c r="D149" s="75">
        <f>'6.Cons Profit &amp; Loss'!C34</f>
        <v>2632350</v>
      </c>
      <c r="E149" s="75">
        <f>'6.Cons Profit &amp; Loss'!D34</f>
        <v>2763967.5</v>
      </c>
      <c r="F149" s="75">
        <f>'6.Cons Profit &amp; Loss'!E34</f>
        <v>2902165.8750000005</v>
      </c>
      <c r="G149" s="75">
        <f>'6.Cons Profit &amp; Loss'!F34</f>
        <v>3047274.1687500007</v>
      </c>
      <c r="H149" s="75">
        <f>'6.Cons Profit &amp; Loss'!G34</f>
        <v>3199637.8771875007</v>
      </c>
      <c r="I149" s="75">
        <f>'6.Cons Profit &amp; Loss'!H34</f>
        <v>3359619.771046876</v>
      </c>
    </row>
    <row r="150" spans="2:15">
      <c r="B150" s="74" t="s">
        <v>312</v>
      </c>
      <c r="C150" s="75">
        <f>'6.Cons Profit &amp; Loss'!B23*(1+$M$127)</f>
        <v>8313034.795104376</v>
      </c>
      <c r="D150" s="75">
        <f>'6.Cons Profit &amp; Loss'!C23*(1+$M$127)</f>
        <v>15670645.874643421</v>
      </c>
      <c r="E150" s="75">
        <f>'6.Cons Profit &amp; Loss'!D23*(1+$M$127)</f>
        <v>18964654.400278516</v>
      </c>
      <c r="F150" s="75">
        <f>'6.Cons Profit &amp; Loss'!E23*(1+$M$127)</f>
        <v>22548887.163790517</v>
      </c>
      <c r="G150" s="75">
        <f>'6.Cons Profit &amp; Loss'!F23*(1+$M$127)</f>
        <v>26444131.567653026</v>
      </c>
      <c r="H150" s="75">
        <f>'6.Cons Profit &amp; Loss'!G23*(1+$M$127)</f>
        <v>30672528.193992298</v>
      </c>
      <c r="I150" s="75">
        <f>'6.Cons Profit &amp; Loss'!H23*(1+$M$127)</f>
        <v>35257654.154046364</v>
      </c>
    </row>
    <row r="151" spans="2:15">
      <c r="B151" s="74" t="s">
        <v>355</v>
      </c>
      <c r="C151" s="75">
        <f t="shared" ref="C151:I151" si="18">SUM(C149:C150)</f>
        <v>10820034.795104377</v>
      </c>
      <c r="D151" s="75">
        <f t="shared" si="18"/>
        <v>18302995.874643423</v>
      </c>
      <c r="E151" s="75">
        <f t="shared" si="18"/>
        <v>21728621.900278516</v>
      </c>
      <c r="F151" s="75">
        <f t="shared" si="18"/>
        <v>25451053.038790517</v>
      </c>
      <c r="G151" s="75">
        <f t="shared" si="18"/>
        <v>29491405.736403026</v>
      </c>
      <c r="H151" s="75">
        <f t="shared" si="18"/>
        <v>33872166.0711798</v>
      </c>
      <c r="I151" s="75">
        <f t="shared" si="18"/>
        <v>38617273.925093241</v>
      </c>
    </row>
    <row r="152" spans="2:15">
      <c r="B152" s="77" t="s">
        <v>356</v>
      </c>
      <c r="C152" s="78">
        <f t="shared" ref="C152:I152" si="19">+C147-C151</f>
        <v>-651028.1011043787</v>
      </c>
      <c r="D152" s="78">
        <f t="shared" si="19"/>
        <v>1093050.6872065738</v>
      </c>
      <c r="E152" s="78">
        <f t="shared" si="19"/>
        <v>1871348.8287764788</v>
      </c>
      <c r="F152" s="78">
        <f t="shared" si="19"/>
        <v>2724744.1577853523</v>
      </c>
      <c r="G152" s="78">
        <f t="shared" si="19"/>
        <v>3658800.6476231702</v>
      </c>
      <c r="H152" s="78">
        <f t="shared" si="19"/>
        <v>4679450.9260503203</v>
      </c>
      <c r="I152" s="78">
        <f t="shared" si="19"/>
        <v>5793019.2307011336</v>
      </c>
      <c r="N152" s="4"/>
      <c r="O152" s="6"/>
    </row>
    <row r="153" spans="2:15">
      <c r="B153" s="79"/>
      <c r="C153" s="80"/>
      <c r="D153" s="80"/>
      <c r="E153" s="80"/>
      <c r="F153" s="80"/>
      <c r="G153" s="80"/>
      <c r="H153" s="80"/>
      <c r="I153" s="80"/>
    </row>
    <row r="154" spans="2:15">
      <c r="B154" s="82" t="s">
        <v>358</v>
      </c>
      <c r="C154" s="83" t="s">
        <v>2</v>
      </c>
      <c r="D154" s="83" t="s">
        <v>3</v>
      </c>
      <c r="E154" s="83" t="s">
        <v>4</v>
      </c>
      <c r="F154" s="83" t="s">
        <v>5</v>
      </c>
      <c r="G154" s="83" t="s">
        <v>6</v>
      </c>
      <c r="H154" s="83" t="s">
        <v>167</v>
      </c>
      <c r="I154" s="83" t="s">
        <v>166</v>
      </c>
    </row>
    <row r="155" spans="2:15">
      <c r="B155" s="74" t="str">
        <f t="shared" ref="B155:B161" si="20">B140</f>
        <v>Faclitiy 1 - Trading Activity</v>
      </c>
      <c r="C155" s="323">
        <f>'6.Cons Profit &amp; Loss'!B6*(1-$M$126)</f>
        <v>9408532.0913999975</v>
      </c>
      <c r="D155" s="323">
        <f>'6.Cons Profit &amp; Loss'!C6*(1-$M$126)</f>
        <v>18076232.554694995</v>
      </c>
      <c r="E155" s="323">
        <f>'6.Cons Profit &amp; Loss'!D6*(1-$M$126)</f>
        <v>21855248.584202245</v>
      </c>
      <c r="F155" s="323">
        <f>'6.Cons Profit &amp; Loss'!E6*(1-$M$126)</f>
        <v>25966975.635273479</v>
      </c>
      <c r="G155" s="323">
        <f>'6.Cons Profit &amp; Loss'!F6*(1-$M$126)</f>
        <v>30435237.269991338</v>
      </c>
      <c r="H155" s="323">
        <f>'6.Cons Profit &amp; Loss'!G6*(1-$M$126)</f>
        <v>35285407.629092805</v>
      </c>
      <c r="I155" s="323">
        <f>'6.Cons Profit &amp; Loss'!H6*(1-$M$126)</f>
        <v>40544506.930929437</v>
      </c>
    </row>
    <row r="156" spans="2:15">
      <c r="B156" s="74" t="str">
        <f t="shared" si="20"/>
        <v>Faclitiy 2 - Processing Unit- Cleaning, Grading</v>
      </c>
      <c r="C156" s="323">
        <f>'6.Cons Profit &amp; Loss'!B7*(1-$M$126)</f>
        <v>455404.40178000001</v>
      </c>
      <c r="D156" s="323">
        <f>'6.Cons Profit &amp; Loss'!C7*(1-$M$126)</f>
        <v>737932.61029950017</v>
      </c>
      <c r="E156" s="323">
        <f>'6.Cons Profit &amp; Loss'!D7*(1-$M$126)</f>
        <v>1036723.0229810999</v>
      </c>
      <c r="F156" s="323">
        <f>'6.Cons Profit &amp; Loss'!E7*(1-$M$126)</f>
        <v>1363547.6454051114</v>
      </c>
      <c r="G156" s="323">
        <f>'6.Cons Profit &amp; Loss'!F7*(1-$M$126)</f>
        <v>1720462.9225140715</v>
      </c>
      <c r="H156" s="323">
        <f>'6.Cons Profit &amp; Loss'!G7*(1-$M$126)</f>
        <v>2109660.8582204143</v>
      </c>
      <c r="I156" s="323">
        <f>'6.Cons Profit &amp; Loss'!H7*(1-$M$126)</f>
        <v>2533477.4301911062</v>
      </c>
    </row>
    <row r="157" spans="2:15">
      <c r="B157" s="74" t="str">
        <f t="shared" si="20"/>
        <v>Faclitiy 3 - Warehouse</v>
      </c>
      <c r="C157" s="323">
        <f>'6.Cons Profit &amp; Loss'!B8*(1-$M$126)</f>
        <v>0</v>
      </c>
      <c r="D157" s="323">
        <f>'6.Cons Profit &amp; Loss'!C8*(1-$M$126)</f>
        <v>0</v>
      </c>
      <c r="E157" s="323">
        <f>'6.Cons Profit &amp; Loss'!D8*(1-$M$126)</f>
        <v>0</v>
      </c>
      <c r="F157" s="323">
        <f>'6.Cons Profit &amp; Loss'!E8*(1-$M$126)</f>
        <v>0</v>
      </c>
      <c r="G157" s="323">
        <f>'6.Cons Profit &amp; Loss'!F8*(1-$M$126)</f>
        <v>0</v>
      </c>
      <c r="H157" s="323">
        <f>'6.Cons Profit &amp; Loss'!G8*(1-$M$126)</f>
        <v>0</v>
      </c>
      <c r="I157" s="323">
        <f>'6.Cons Profit &amp; Loss'!H8*(1-$M$126)</f>
        <v>0</v>
      </c>
    </row>
    <row r="158" spans="2:15">
      <c r="B158" s="74" t="str">
        <f t="shared" si="20"/>
        <v xml:space="preserve">Faclitiy 4 - Custom Hiring </v>
      </c>
      <c r="C158" s="323">
        <f>'6.Cons Profit &amp; Loss'!B9*(1-$M$126)</f>
        <v>0</v>
      </c>
      <c r="D158" s="323">
        <f>'6.Cons Profit &amp; Loss'!C9*(1-$M$126)</f>
        <v>0</v>
      </c>
      <c r="E158" s="323">
        <f>'6.Cons Profit &amp; Loss'!D9*(1-$M$126)</f>
        <v>0</v>
      </c>
      <c r="F158" s="323">
        <f>'6.Cons Profit &amp; Loss'!E9*(1-$M$126)</f>
        <v>0</v>
      </c>
      <c r="G158" s="323">
        <f>'6.Cons Profit &amp; Loss'!F9*(1-$M$126)</f>
        <v>0</v>
      </c>
      <c r="H158" s="323">
        <f>'6.Cons Profit &amp; Loss'!G9*(1-$M$126)</f>
        <v>0</v>
      </c>
      <c r="I158" s="323">
        <f>'6.Cons Profit &amp; Loss'!H9*(1-$M$126)</f>
        <v>0</v>
      </c>
    </row>
    <row r="159" spans="2:15">
      <c r="B159" s="74" t="str">
        <f t="shared" si="20"/>
        <v>Faclitiy 5 - Agri Input Centre</v>
      </c>
      <c r="C159" s="323">
        <f>'6.Cons Profit &amp; Loss'!B10*(1-$M$126)</f>
        <v>0</v>
      </c>
      <c r="D159" s="323">
        <f>'6.Cons Profit &amp; Loss'!C10*(1-$M$126)</f>
        <v>0</v>
      </c>
      <c r="E159" s="323">
        <f>'6.Cons Profit &amp; Loss'!D10*(1-$M$126)</f>
        <v>0</v>
      </c>
      <c r="F159" s="323">
        <f>'6.Cons Profit &amp; Loss'!E10*(1-$M$126)</f>
        <v>0</v>
      </c>
      <c r="G159" s="323">
        <f>'6.Cons Profit &amp; Loss'!F10*(1-$M$126)</f>
        <v>0</v>
      </c>
      <c r="H159" s="323">
        <f>'6.Cons Profit &amp; Loss'!G10*(1-$M$126)</f>
        <v>0</v>
      </c>
      <c r="I159" s="323">
        <f>'6.Cons Profit &amp; Loss'!H10*(1-$M$126)</f>
        <v>0</v>
      </c>
    </row>
    <row r="160" spans="2:15">
      <c r="B160" s="74" t="str">
        <f t="shared" si="20"/>
        <v>Facility 6 - Processing Unit - Horti Commodity</v>
      </c>
      <c r="C160" s="323">
        <f>'6.Cons Profit &amp; Loss'!B11*(1-$M$126)</f>
        <v>0</v>
      </c>
      <c r="D160" s="323">
        <f>'6.Cons Profit &amp; Loss'!C11*(1-$M$126)</f>
        <v>0</v>
      </c>
      <c r="E160" s="323">
        <f>'6.Cons Profit &amp; Loss'!D11*(1-$M$126)</f>
        <v>0</v>
      </c>
      <c r="F160" s="323">
        <f>'6.Cons Profit &amp; Loss'!E11*(1-$M$126)</f>
        <v>0</v>
      </c>
      <c r="G160" s="323">
        <f>'6.Cons Profit &amp; Loss'!F11*(1-$M$126)</f>
        <v>0</v>
      </c>
      <c r="H160" s="323">
        <f>'6.Cons Profit &amp; Loss'!G11*(1-$M$126)</f>
        <v>0</v>
      </c>
      <c r="I160" s="323">
        <f>'6.Cons Profit &amp; Loss'!H11*(1-$M$126)</f>
        <v>0</v>
      </c>
    </row>
    <row r="161" spans="2:9">
      <c r="B161" s="74">
        <f t="shared" si="20"/>
        <v>0</v>
      </c>
      <c r="C161" s="323">
        <f>'6.Cons Profit &amp; Loss'!B12*(1-$M$126)</f>
        <v>0</v>
      </c>
      <c r="D161" s="323">
        <f>'6.Cons Profit &amp; Loss'!C12*(1-$M$126)</f>
        <v>0</v>
      </c>
      <c r="E161" s="323">
        <f>'6.Cons Profit &amp; Loss'!D12*(1-$M$126)</f>
        <v>0</v>
      </c>
      <c r="F161" s="323">
        <f>'6.Cons Profit &amp; Loss'!E12*(1-$M$126)</f>
        <v>0</v>
      </c>
      <c r="G161" s="323">
        <f>'6.Cons Profit &amp; Loss'!F12*(1-$M$126)</f>
        <v>0</v>
      </c>
      <c r="H161" s="323">
        <f>'6.Cons Profit &amp; Loss'!G12*(1-$M$126)</f>
        <v>0</v>
      </c>
      <c r="I161" s="323">
        <f>'6.Cons Profit &amp; Loss'!H12*(1-$M$126)</f>
        <v>0</v>
      </c>
    </row>
    <row r="162" spans="2:9">
      <c r="B162" s="74" t="s">
        <v>352</v>
      </c>
      <c r="C162" s="323">
        <f>SUM(C155:C161)</f>
        <v>9863936.4931799974</v>
      </c>
      <c r="D162" s="323">
        <f t="shared" ref="D162:I162" si="21">SUM(D155:D161)</f>
        <v>18814165.164994497</v>
      </c>
      <c r="E162" s="323">
        <f t="shared" si="21"/>
        <v>22891971.607183345</v>
      </c>
      <c r="F162" s="323">
        <f t="shared" si="21"/>
        <v>27330523.280678589</v>
      </c>
      <c r="G162" s="323">
        <f t="shared" si="21"/>
        <v>32155700.192505408</v>
      </c>
      <c r="H162" s="323">
        <f t="shared" si="21"/>
        <v>37395068.487313218</v>
      </c>
      <c r="I162" s="323">
        <f t="shared" si="21"/>
        <v>43077984.361120544</v>
      </c>
    </row>
    <row r="163" spans="2:9">
      <c r="B163" s="74" t="s">
        <v>353</v>
      </c>
      <c r="C163" s="323"/>
      <c r="D163" s="323"/>
      <c r="E163" s="323"/>
      <c r="F163" s="323"/>
      <c r="G163" s="323"/>
      <c r="H163" s="323"/>
      <c r="I163" s="323"/>
    </row>
    <row r="164" spans="2:9">
      <c r="B164" s="74" t="s">
        <v>354</v>
      </c>
      <c r="C164" s="323">
        <f>'6.Cons Profit &amp; Loss'!B34</f>
        <v>2507000</v>
      </c>
      <c r="D164" s="323">
        <f>'6.Cons Profit &amp; Loss'!C34</f>
        <v>2632350</v>
      </c>
      <c r="E164" s="323">
        <f>'6.Cons Profit &amp; Loss'!D34</f>
        <v>2763967.5</v>
      </c>
      <c r="F164" s="323">
        <f>'6.Cons Profit &amp; Loss'!E34</f>
        <v>2902165.8750000005</v>
      </c>
      <c r="G164" s="323">
        <f>'6.Cons Profit &amp; Loss'!F34</f>
        <v>3047274.1687500007</v>
      </c>
      <c r="H164" s="323">
        <f>'6.Cons Profit &amp; Loss'!G34</f>
        <v>3199637.8771875007</v>
      </c>
      <c r="I164" s="323">
        <f>'6.Cons Profit &amp; Loss'!H34</f>
        <v>3359619.771046876</v>
      </c>
    </row>
    <row r="165" spans="2:9">
      <c r="B165" s="74" t="s">
        <v>312</v>
      </c>
      <c r="C165" s="323">
        <f>'6.Cons Profit &amp; Loss'!B23*(1-$M$126)</f>
        <v>7828780.341020626</v>
      </c>
      <c r="D165" s="323">
        <f>'6.Cons Profit &amp; Loss'!C23*(1-$M$126)</f>
        <v>14757792.716897203</v>
      </c>
      <c r="E165" s="323">
        <f>'6.Cons Profit &amp; Loss'!D23*(1-$M$126)</f>
        <v>17859917.250747725</v>
      </c>
      <c r="F165" s="323">
        <f>'6.Cons Profit &amp; Loss'!E23*(1-$M$126)</f>
        <v>21235359.756191067</v>
      </c>
      <c r="G165" s="323">
        <f>'6.Cons Profit &amp; Loss'!F23*(1-$M$126)</f>
        <v>24903696.719051879</v>
      </c>
      <c r="H165" s="323">
        <f>'6.Cons Profit &amp; Loss'!G23*(1-$M$126)</f>
        <v>28885778.97880828</v>
      </c>
      <c r="I165" s="323">
        <f>'6.Cons Profit &amp; Loss'!H23*(1-$M$126)</f>
        <v>33203810.222742688</v>
      </c>
    </row>
    <row r="166" spans="2:9">
      <c r="B166" s="74" t="s">
        <v>355</v>
      </c>
      <c r="C166" s="323">
        <f t="shared" ref="C166:I166" si="22">SUM(C164:C165)</f>
        <v>10335780.341020625</v>
      </c>
      <c r="D166" s="323">
        <f t="shared" si="22"/>
        <v>17390142.716897205</v>
      </c>
      <c r="E166" s="323">
        <f t="shared" si="22"/>
        <v>20623884.750747725</v>
      </c>
      <c r="F166" s="323">
        <f t="shared" si="22"/>
        <v>24137525.631191067</v>
      </c>
      <c r="G166" s="323">
        <f t="shared" si="22"/>
        <v>27950970.887801878</v>
      </c>
      <c r="H166" s="323">
        <f t="shared" si="22"/>
        <v>32085416.855995782</v>
      </c>
      <c r="I166" s="323">
        <f t="shared" si="22"/>
        <v>36563429.993789561</v>
      </c>
    </row>
    <row r="167" spans="2:9">
      <c r="B167" s="77" t="s">
        <v>356</v>
      </c>
      <c r="C167" s="325">
        <f t="shared" ref="C167:I167" si="23">+C162-C166</f>
        <v>-471843.84784062766</v>
      </c>
      <c r="D167" s="325">
        <f t="shared" si="23"/>
        <v>1424022.4480972923</v>
      </c>
      <c r="E167" s="325">
        <f t="shared" si="23"/>
        <v>2268086.8564356193</v>
      </c>
      <c r="F167" s="325">
        <f t="shared" si="23"/>
        <v>3192997.6494875215</v>
      </c>
      <c r="G167" s="325">
        <f t="shared" si="23"/>
        <v>4204729.3047035299</v>
      </c>
      <c r="H167" s="325">
        <f t="shared" si="23"/>
        <v>5309651.6313174367</v>
      </c>
      <c r="I167" s="325">
        <f t="shared" si="23"/>
        <v>6514554.3673309833</v>
      </c>
    </row>
    <row r="168" spans="2:9">
      <c r="B168" s="13"/>
      <c r="C168" s="80"/>
      <c r="D168" s="80"/>
      <c r="E168" s="80"/>
      <c r="F168" s="80"/>
      <c r="G168" s="80"/>
      <c r="H168" s="80"/>
      <c r="I168" s="80"/>
    </row>
    <row r="169" spans="2:9">
      <c r="B169" s="82" t="s">
        <v>359</v>
      </c>
      <c r="C169" s="83" t="s">
        <v>2</v>
      </c>
      <c r="D169" s="83" t="s">
        <v>3</v>
      </c>
      <c r="E169" s="83" t="s">
        <v>4</v>
      </c>
      <c r="F169" s="83" t="s">
        <v>5</v>
      </c>
      <c r="G169" s="83" t="s">
        <v>6</v>
      </c>
      <c r="H169" s="83" t="s">
        <v>167</v>
      </c>
      <c r="I169" s="83" t="s">
        <v>166</v>
      </c>
    </row>
    <row r="170" spans="2:9">
      <c r="B170" s="74" t="str">
        <f t="shared" ref="B170:B176" si="24">B155</f>
        <v>Faclitiy 1 - Trading Activity</v>
      </c>
      <c r="C170" s="76">
        <f>'6.Cons Profit &amp; Loss'!B6</f>
        <v>9699517.6199999973</v>
      </c>
      <c r="D170" s="76">
        <f>'6.Cons Profit &amp; Loss'!C6</f>
        <v>18635291.293499995</v>
      </c>
      <c r="E170" s="76">
        <f>'6.Cons Profit &amp; Loss'!D6</f>
        <v>22531184.107424997</v>
      </c>
      <c r="F170" s="76">
        <f>'6.Cons Profit &amp; Loss'!E6</f>
        <v>26770077.974508744</v>
      </c>
      <c r="G170" s="76">
        <f>'6.Cons Profit &amp; Loss'!F6</f>
        <v>31376533.268032309</v>
      </c>
      <c r="H170" s="76">
        <f>'6.Cons Profit &amp; Loss'!G6</f>
        <v>36376708.895971961</v>
      </c>
      <c r="I170" s="76">
        <f>'6.Cons Profit &amp; Loss'!H6</f>
        <v>41798460.753535502</v>
      </c>
    </row>
    <row r="171" spans="2:9">
      <c r="B171" s="74" t="str">
        <f t="shared" si="24"/>
        <v>Faclitiy 2 - Processing Unit- Cleaning, Grading</v>
      </c>
      <c r="C171" s="76">
        <f>'6.Cons Profit &amp; Loss'!B7</f>
        <v>469489.07400000002</v>
      </c>
      <c r="D171" s="76">
        <f>'6.Cons Profit &amp; Loss'!C7</f>
        <v>760755.26835000014</v>
      </c>
      <c r="E171" s="76">
        <f>'6.Cons Profit &amp; Loss'!D7</f>
        <v>1068786.62163</v>
      </c>
      <c r="F171" s="76">
        <f>'6.Cons Profit &amp; Loss'!E7</f>
        <v>1405719.2220671251</v>
      </c>
      <c r="G171" s="76">
        <f>'6.Cons Profit &amp; Loss'!F7</f>
        <v>1773673.1159938881</v>
      </c>
      <c r="H171" s="76">
        <f>'6.Cons Profit &amp; Loss'!G7</f>
        <v>2174908.1012581591</v>
      </c>
      <c r="I171" s="76">
        <f>'6.Cons Profit &amp; Loss'!H7</f>
        <v>2611832.4022588725</v>
      </c>
    </row>
    <row r="172" spans="2:9">
      <c r="B172" s="74" t="str">
        <f t="shared" si="24"/>
        <v>Faclitiy 3 - Warehouse</v>
      </c>
      <c r="C172" s="76">
        <f>'6.Cons Profit &amp; Loss'!B8</f>
        <v>0</v>
      </c>
      <c r="D172" s="76">
        <f>'6.Cons Profit &amp; Loss'!C8</f>
        <v>0</v>
      </c>
      <c r="E172" s="76">
        <f>'6.Cons Profit &amp; Loss'!D8</f>
        <v>0</v>
      </c>
      <c r="F172" s="76">
        <f>'6.Cons Profit &amp; Loss'!E8</f>
        <v>0</v>
      </c>
      <c r="G172" s="76">
        <f>'6.Cons Profit &amp; Loss'!F8</f>
        <v>0</v>
      </c>
      <c r="H172" s="76">
        <f>'6.Cons Profit &amp; Loss'!G8</f>
        <v>0</v>
      </c>
      <c r="I172" s="76">
        <f>'6.Cons Profit &amp; Loss'!H8</f>
        <v>0</v>
      </c>
    </row>
    <row r="173" spans="2:9">
      <c r="B173" s="74" t="str">
        <f t="shared" si="24"/>
        <v xml:space="preserve">Faclitiy 4 - Custom Hiring </v>
      </c>
      <c r="C173" s="76">
        <f>'6.Cons Profit &amp; Loss'!B9</f>
        <v>0</v>
      </c>
      <c r="D173" s="76">
        <f>'6.Cons Profit &amp; Loss'!C9</f>
        <v>0</v>
      </c>
      <c r="E173" s="76">
        <f>'6.Cons Profit &amp; Loss'!D9</f>
        <v>0</v>
      </c>
      <c r="F173" s="76">
        <f>'6.Cons Profit &amp; Loss'!E9</f>
        <v>0</v>
      </c>
      <c r="G173" s="76">
        <f>'6.Cons Profit &amp; Loss'!F9</f>
        <v>0</v>
      </c>
      <c r="H173" s="76">
        <f>'6.Cons Profit &amp; Loss'!G9</f>
        <v>0</v>
      </c>
      <c r="I173" s="76">
        <f>'6.Cons Profit &amp; Loss'!H9</f>
        <v>0</v>
      </c>
    </row>
    <row r="174" spans="2:9">
      <c r="B174" s="74" t="str">
        <f t="shared" si="24"/>
        <v>Faclitiy 5 - Agri Input Centre</v>
      </c>
      <c r="C174" s="76">
        <f>'6.Cons Profit &amp; Loss'!B10</f>
        <v>0</v>
      </c>
      <c r="D174" s="76">
        <f>'6.Cons Profit &amp; Loss'!C10</f>
        <v>0</v>
      </c>
      <c r="E174" s="76">
        <f>'6.Cons Profit &amp; Loss'!D10</f>
        <v>0</v>
      </c>
      <c r="F174" s="76">
        <f>'6.Cons Profit &amp; Loss'!E10</f>
        <v>0</v>
      </c>
      <c r="G174" s="76">
        <f>'6.Cons Profit &amp; Loss'!F10</f>
        <v>0</v>
      </c>
      <c r="H174" s="76">
        <f>'6.Cons Profit &amp; Loss'!G10</f>
        <v>0</v>
      </c>
      <c r="I174" s="76">
        <f>'6.Cons Profit &amp; Loss'!H10</f>
        <v>0</v>
      </c>
    </row>
    <row r="175" spans="2:9">
      <c r="B175" s="74" t="str">
        <f t="shared" si="24"/>
        <v>Facility 6 - Processing Unit - Horti Commodity</v>
      </c>
      <c r="C175" s="76">
        <f>'6.Cons Profit &amp; Loss'!B11</f>
        <v>0</v>
      </c>
      <c r="D175" s="76">
        <f>'6.Cons Profit &amp; Loss'!C11</f>
        <v>0</v>
      </c>
      <c r="E175" s="76">
        <f>'6.Cons Profit &amp; Loss'!D11</f>
        <v>0</v>
      </c>
      <c r="F175" s="76">
        <f>'6.Cons Profit &amp; Loss'!E11</f>
        <v>0</v>
      </c>
      <c r="G175" s="76">
        <f>'6.Cons Profit &amp; Loss'!F11</f>
        <v>0</v>
      </c>
      <c r="H175" s="76">
        <f>'6.Cons Profit &amp; Loss'!G11</f>
        <v>0</v>
      </c>
      <c r="I175" s="76">
        <f>'6.Cons Profit &amp; Loss'!H11</f>
        <v>0</v>
      </c>
    </row>
    <row r="176" spans="2:9">
      <c r="B176" s="74">
        <f t="shared" si="24"/>
        <v>0</v>
      </c>
      <c r="C176" s="76">
        <f>'6.Cons Profit &amp; Loss'!B12</f>
        <v>0</v>
      </c>
      <c r="D176" s="76">
        <f>'6.Cons Profit &amp; Loss'!C12</f>
        <v>0</v>
      </c>
      <c r="E176" s="76">
        <f>'6.Cons Profit &amp; Loss'!D12</f>
        <v>0</v>
      </c>
      <c r="F176" s="76">
        <f>'6.Cons Profit &amp; Loss'!E12</f>
        <v>0</v>
      </c>
      <c r="G176" s="76">
        <f>'6.Cons Profit &amp; Loss'!F12</f>
        <v>0</v>
      </c>
      <c r="H176" s="76">
        <f>'6.Cons Profit &amp; Loss'!G12</f>
        <v>0</v>
      </c>
      <c r="I176" s="76">
        <f>'6.Cons Profit &amp; Loss'!H12</f>
        <v>0</v>
      </c>
    </row>
    <row r="177" spans="2:13">
      <c r="B177" s="74" t="s">
        <v>352</v>
      </c>
      <c r="C177" s="76">
        <f>SUM(C170:C176)</f>
        <v>10169006.693999998</v>
      </c>
      <c r="D177" s="76">
        <f t="shared" ref="D177:I177" si="25">SUM(D170:D176)</f>
        <v>19396046.561849996</v>
      </c>
      <c r="E177" s="76">
        <f t="shared" si="25"/>
        <v>23599970.729054995</v>
      </c>
      <c r="F177" s="76">
        <f t="shared" si="25"/>
        <v>28175797.196575869</v>
      </c>
      <c r="G177" s="76">
        <f t="shared" si="25"/>
        <v>33150206.384026196</v>
      </c>
      <c r="H177" s="76">
        <f t="shared" si="25"/>
        <v>38551616.99723012</v>
      </c>
      <c r="I177" s="76">
        <f t="shared" si="25"/>
        <v>44410293.155794375</v>
      </c>
    </row>
    <row r="178" spans="2:13">
      <c r="B178" s="74" t="s">
        <v>353</v>
      </c>
      <c r="C178" s="76"/>
      <c r="D178" s="76"/>
      <c r="E178" s="76"/>
      <c r="F178" s="76"/>
      <c r="G178" s="76"/>
      <c r="H178" s="76"/>
      <c r="I178" s="76"/>
    </row>
    <row r="179" spans="2:13">
      <c r="B179" s="74" t="s">
        <v>354</v>
      </c>
      <c r="C179" s="76">
        <f>'6.Cons Profit &amp; Loss'!B34</f>
        <v>2507000</v>
      </c>
      <c r="D179" s="76">
        <f>'6.Cons Profit &amp; Loss'!C34</f>
        <v>2632350</v>
      </c>
      <c r="E179" s="76">
        <f>'6.Cons Profit &amp; Loss'!D34</f>
        <v>2763967.5</v>
      </c>
      <c r="F179" s="76">
        <f>'6.Cons Profit &amp; Loss'!E34</f>
        <v>2902165.8750000005</v>
      </c>
      <c r="G179" s="76">
        <f>'6.Cons Profit &amp; Loss'!F34</f>
        <v>3047274.1687500007</v>
      </c>
      <c r="H179" s="76">
        <f>'6.Cons Profit &amp; Loss'!G34</f>
        <v>3199637.8771875007</v>
      </c>
      <c r="I179" s="76">
        <f>'6.Cons Profit &amp; Loss'!H34</f>
        <v>3359619.771046876</v>
      </c>
    </row>
    <row r="180" spans="2:13">
      <c r="B180" s="74" t="s">
        <v>312</v>
      </c>
      <c r="C180" s="76">
        <f>'6.Cons Profit &amp; Loss'!B23*(1-$M$127)</f>
        <v>7828780.341020626</v>
      </c>
      <c r="D180" s="76">
        <f>'6.Cons Profit &amp; Loss'!C23*(1-$M$127)</f>
        <v>14757792.716897203</v>
      </c>
      <c r="E180" s="76">
        <f>'6.Cons Profit &amp; Loss'!D23*(1-$M$127)</f>
        <v>17859917.250747725</v>
      </c>
      <c r="F180" s="76">
        <f>'6.Cons Profit &amp; Loss'!E23*(1-$M$127)</f>
        <v>21235359.756191067</v>
      </c>
      <c r="G180" s="76">
        <f>'6.Cons Profit &amp; Loss'!F23*(1-$M$127)</f>
        <v>24903696.719051879</v>
      </c>
      <c r="H180" s="76">
        <f>'6.Cons Profit &amp; Loss'!G23*(1-$M$127)</f>
        <v>28885778.97880828</v>
      </c>
      <c r="I180" s="76">
        <f>'6.Cons Profit &amp; Loss'!H23*(1-$M$127)</f>
        <v>33203810.222742688</v>
      </c>
    </row>
    <row r="181" spans="2:13">
      <c r="B181" s="74" t="s">
        <v>355</v>
      </c>
      <c r="C181" s="76">
        <f t="shared" ref="C181:I181" si="26">SUM(C179:C180)</f>
        <v>10335780.341020625</v>
      </c>
      <c r="D181" s="76">
        <f t="shared" si="26"/>
        <v>17390142.716897205</v>
      </c>
      <c r="E181" s="76">
        <f t="shared" si="26"/>
        <v>20623884.750747725</v>
      </c>
      <c r="F181" s="76">
        <f t="shared" si="26"/>
        <v>24137525.631191067</v>
      </c>
      <c r="G181" s="76">
        <f t="shared" si="26"/>
        <v>27950970.887801878</v>
      </c>
      <c r="H181" s="76">
        <f t="shared" si="26"/>
        <v>32085416.855995782</v>
      </c>
      <c r="I181" s="76">
        <f t="shared" si="26"/>
        <v>36563429.993789561</v>
      </c>
    </row>
    <row r="182" spans="2:13">
      <c r="B182" s="77" t="s">
        <v>356</v>
      </c>
      <c r="C182" s="324">
        <f t="shared" ref="C182:I182" si="27">+C177-C181</f>
        <v>-166773.64702062681</v>
      </c>
      <c r="D182" s="324">
        <f t="shared" si="27"/>
        <v>2005903.8449527919</v>
      </c>
      <c r="E182" s="324">
        <f t="shared" si="27"/>
        <v>2976085.9783072695</v>
      </c>
      <c r="F182" s="324">
        <f t="shared" si="27"/>
        <v>4038271.5653848015</v>
      </c>
      <c r="G182" s="324">
        <f t="shared" si="27"/>
        <v>5199235.4962243177</v>
      </c>
      <c r="H182" s="324">
        <f t="shared" si="27"/>
        <v>6466200.1412343383</v>
      </c>
      <c r="I182" s="324">
        <f t="shared" si="27"/>
        <v>7846863.1620048136</v>
      </c>
    </row>
    <row r="184" spans="2:13" ht="41.1" customHeight="1">
      <c r="B184" s="452" t="s">
        <v>542</v>
      </c>
      <c r="C184" s="452"/>
      <c r="D184" s="452"/>
      <c r="E184" s="452"/>
      <c r="F184" s="452"/>
      <c r="G184" s="452"/>
      <c r="H184" s="452"/>
      <c r="I184" s="452"/>
      <c r="J184" s="331"/>
      <c r="K184" s="331"/>
      <c r="L184" s="331"/>
      <c r="M184" s="331"/>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hyperlinks>
  <pageMargins left="0.70866141732283472" right="0.70866141732283472" top="0.74803149606299213" bottom="0.74803149606299213" header="0.31496062992125984" footer="0.31496062992125984"/>
  <pageSetup scale="43" orientation="landscape" r:id="rId2"/>
  <rowBreaks count="2" manualBreakCount="2">
    <brk id="52" min="1" max="12" man="1"/>
    <brk id="121"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80" zoomScaleSheetLayoutView="80" workbookViewId="0">
      <selection sqref="A1:H1"/>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hidden="1" customWidth="1"/>
    <col min="11" max="26" width="0" hidden="1" customWidth="1"/>
  </cols>
  <sheetData>
    <row r="1" spans="1:26" ht="18.75">
      <c r="A1" s="412" t="s">
        <v>590</v>
      </c>
      <c r="B1" s="412"/>
      <c r="C1" s="412"/>
      <c r="D1" s="412"/>
      <c r="E1" s="412"/>
      <c r="F1" s="412"/>
      <c r="G1" s="412"/>
      <c r="H1" s="412"/>
    </row>
    <row r="2" spans="1:26">
      <c r="B2" s="4"/>
    </row>
    <row r="3" spans="1:26" ht="18.75">
      <c r="A3" s="463" t="s">
        <v>561</v>
      </c>
      <c r="B3" s="463"/>
    </row>
    <row r="4" spans="1:26">
      <c r="A4" s="277" t="s">
        <v>0</v>
      </c>
      <c r="B4" s="295" t="s">
        <v>390</v>
      </c>
      <c r="C4" s="296"/>
      <c r="D4" s="296"/>
      <c r="E4" s="296"/>
      <c r="F4" s="296"/>
      <c r="G4" s="296"/>
      <c r="H4" s="296"/>
    </row>
    <row r="5" spans="1:26">
      <c r="A5" s="10" t="s">
        <v>499</v>
      </c>
      <c r="B5" s="273">
        <v>250</v>
      </c>
      <c r="C5" s="297"/>
      <c r="D5" s="298"/>
      <c r="E5" s="298"/>
      <c r="F5" s="298"/>
      <c r="G5" s="298"/>
      <c r="H5" s="298"/>
    </row>
    <row r="6" spans="1:26">
      <c r="A6" s="10" t="s">
        <v>500</v>
      </c>
      <c r="B6" s="273">
        <v>250</v>
      </c>
      <c r="C6" s="297"/>
      <c r="D6" s="298"/>
      <c r="E6" s="298"/>
      <c r="F6" s="298"/>
      <c r="G6" s="298"/>
      <c r="H6" s="298"/>
    </row>
    <row r="7" spans="1:26">
      <c r="A7" s="2" t="s">
        <v>1</v>
      </c>
      <c r="B7" s="321">
        <f>B5+B6</f>
        <v>500</v>
      </c>
      <c r="C7" s="299"/>
      <c r="D7" s="300"/>
      <c r="E7" s="300"/>
      <c r="F7" s="300"/>
      <c r="G7" s="300"/>
      <c r="H7" s="300"/>
    </row>
    <row r="8" spans="1:26">
      <c r="A8" s="2" t="s">
        <v>501</v>
      </c>
      <c r="B8" s="320">
        <v>2</v>
      </c>
      <c r="C8" s="299"/>
      <c r="D8" s="299"/>
      <c r="E8" s="299"/>
      <c r="F8" s="299"/>
      <c r="G8" s="299"/>
      <c r="H8" s="299"/>
    </row>
    <row r="9" spans="1:26">
      <c r="A9" s="2" t="s">
        <v>506</v>
      </c>
      <c r="B9" s="321">
        <f>B7*B8</f>
        <v>1000</v>
      </c>
      <c r="C9" s="300"/>
      <c r="D9" s="300"/>
      <c r="E9" s="300"/>
      <c r="F9" s="300"/>
      <c r="G9" s="300"/>
      <c r="H9" s="300"/>
    </row>
    <row r="10" spans="1:26">
      <c r="J10" t="s">
        <v>460</v>
      </c>
      <c r="O10" t="s">
        <v>456</v>
      </c>
      <c r="U10" t="s">
        <v>457</v>
      </c>
      <c r="Y10" t="s">
        <v>458</v>
      </c>
      <c r="Z10" t="s">
        <v>459</v>
      </c>
    </row>
    <row r="11" spans="1:26" ht="18.75">
      <c r="A11" s="412" t="s">
        <v>562</v>
      </c>
      <c r="B11" s="412"/>
      <c r="C11" s="412"/>
      <c r="D11" s="412"/>
      <c r="E11" s="412"/>
      <c r="F11" s="412"/>
      <c r="G11" s="412"/>
      <c r="H11" s="412"/>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394</v>
      </c>
      <c r="B13" s="277" t="s">
        <v>395</v>
      </c>
      <c r="C13" s="278" t="s">
        <v>453</v>
      </c>
      <c r="D13" s="278" t="s">
        <v>461</v>
      </c>
      <c r="E13" s="278" t="s">
        <v>462</v>
      </c>
      <c r="F13" s="278" t="s">
        <v>396</v>
      </c>
      <c r="G13" s="278" t="s">
        <v>634</v>
      </c>
      <c r="H13" s="278" t="s">
        <v>397</v>
      </c>
      <c r="O13" s="290" t="s">
        <v>2</v>
      </c>
      <c r="P13" s="290" t="s">
        <v>3</v>
      </c>
      <c r="Q13" s="290" t="s">
        <v>4</v>
      </c>
      <c r="R13" s="290" t="s">
        <v>5</v>
      </c>
      <c r="S13" s="290" t="s">
        <v>6</v>
      </c>
      <c r="T13" s="290" t="s">
        <v>2</v>
      </c>
      <c r="U13" s="290" t="s">
        <v>3</v>
      </c>
      <c r="V13" s="290" t="s">
        <v>4</v>
      </c>
      <c r="W13" s="290" t="s">
        <v>5</v>
      </c>
      <c r="X13" s="290" t="s">
        <v>6</v>
      </c>
    </row>
    <row r="14" spans="1:26">
      <c r="A14" s="467" t="s">
        <v>398</v>
      </c>
      <c r="B14" s="273" t="s">
        <v>165</v>
      </c>
      <c r="C14" s="288">
        <v>0.45</v>
      </c>
      <c r="D14" s="10">
        <f t="shared" ref="D14:D22" si="3">$B$9*C14</f>
        <v>450</v>
      </c>
      <c r="E14" s="274">
        <v>10</v>
      </c>
      <c r="F14" s="10">
        <f>D14*E14</f>
        <v>4500</v>
      </c>
      <c r="G14" s="289">
        <v>0.01</v>
      </c>
      <c r="H14" s="10">
        <f>(F14-F14*G14)</f>
        <v>4455</v>
      </c>
      <c r="J14">
        <f>$D$14*J12</f>
        <v>292.5</v>
      </c>
      <c r="K14">
        <f>$D$14*K12</f>
        <v>315.00000000000006</v>
      </c>
      <c r="L14">
        <f>$D$14*L12</f>
        <v>337.50000000000006</v>
      </c>
      <c r="M14">
        <f>$D$14*M12</f>
        <v>360.00000000000006</v>
      </c>
      <c r="N14">
        <f>$D$14*N12</f>
        <v>382.50000000000011</v>
      </c>
    </row>
    <row r="15" spans="1:26">
      <c r="A15" s="468"/>
      <c r="B15" s="273" t="s">
        <v>680</v>
      </c>
      <c r="C15" s="288">
        <v>0.05</v>
      </c>
      <c r="D15" s="10">
        <f t="shared" si="3"/>
        <v>50</v>
      </c>
      <c r="E15" s="274">
        <v>10</v>
      </c>
      <c r="F15" s="10">
        <f t="shared" ref="F15:F36" si="4">D15*E15</f>
        <v>500</v>
      </c>
      <c r="G15" s="289">
        <v>0.05</v>
      </c>
      <c r="H15" s="10">
        <f>(F15-F15*G15)</f>
        <v>475</v>
      </c>
    </row>
    <row r="16" spans="1:26">
      <c r="A16" s="468"/>
      <c r="B16" s="273" t="s">
        <v>678</v>
      </c>
      <c r="C16" s="288">
        <v>0.35</v>
      </c>
      <c r="D16" s="10">
        <f t="shared" si="3"/>
        <v>350</v>
      </c>
      <c r="E16" s="274">
        <v>15</v>
      </c>
      <c r="F16" s="10">
        <f t="shared" si="4"/>
        <v>5250</v>
      </c>
      <c r="G16" s="289">
        <v>0.01</v>
      </c>
      <c r="H16" s="10">
        <f t="shared" ref="H16:H36" si="5">(F16-F16*G16)</f>
        <v>5197.5</v>
      </c>
    </row>
    <row r="17" spans="1:8">
      <c r="A17" s="468"/>
      <c r="B17" s="273" t="s">
        <v>686</v>
      </c>
      <c r="C17" s="288">
        <v>0.05</v>
      </c>
      <c r="D17" s="10">
        <f t="shared" si="3"/>
        <v>50</v>
      </c>
      <c r="E17" s="274">
        <v>7</v>
      </c>
      <c r="F17" s="10">
        <f t="shared" si="4"/>
        <v>350</v>
      </c>
      <c r="G17" s="289">
        <v>0.01</v>
      </c>
      <c r="H17" s="10">
        <f t="shared" si="5"/>
        <v>346.5</v>
      </c>
    </row>
    <row r="18" spans="1:8">
      <c r="A18" s="468"/>
      <c r="B18" s="273" t="s">
        <v>399</v>
      </c>
      <c r="C18" s="288">
        <v>0</v>
      </c>
      <c r="D18" s="10">
        <f t="shared" si="3"/>
        <v>0</v>
      </c>
      <c r="E18" s="274">
        <v>0</v>
      </c>
      <c r="F18" s="10">
        <f t="shared" si="4"/>
        <v>0</v>
      </c>
      <c r="G18" s="289">
        <v>0</v>
      </c>
      <c r="H18" s="10">
        <f t="shared" si="5"/>
        <v>0</v>
      </c>
    </row>
    <row r="19" spans="1:8">
      <c r="A19" s="468"/>
      <c r="B19" s="273" t="s">
        <v>685</v>
      </c>
      <c r="C19" s="288">
        <v>0.05</v>
      </c>
      <c r="D19" s="10">
        <f t="shared" si="3"/>
        <v>50</v>
      </c>
      <c r="E19" s="274">
        <v>8</v>
      </c>
      <c r="F19" s="10">
        <f t="shared" si="4"/>
        <v>400</v>
      </c>
      <c r="G19" s="289">
        <v>0.01</v>
      </c>
      <c r="H19" s="10">
        <f t="shared" si="5"/>
        <v>396</v>
      </c>
    </row>
    <row r="20" spans="1:8">
      <c r="A20" s="468"/>
      <c r="B20" s="273" t="s">
        <v>476</v>
      </c>
      <c r="C20" s="288">
        <v>0</v>
      </c>
      <c r="D20" s="10">
        <f t="shared" si="3"/>
        <v>0</v>
      </c>
      <c r="E20" s="274">
        <v>0</v>
      </c>
      <c r="F20" s="10">
        <f t="shared" si="4"/>
        <v>0</v>
      </c>
      <c r="G20" s="289">
        <v>0</v>
      </c>
      <c r="H20" s="10">
        <f t="shared" si="5"/>
        <v>0</v>
      </c>
    </row>
    <row r="21" spans="1:8">
      <c r="A21" s="468"/>
      <c r="B21" s="273" t="s">
        <v>402</v>
      </c>
      <c r="C21" s="288">
        <v>0.05</v>
      </c>
      <c r="D21" s="10">
        <f t="shared" si="3"/>
        <v>50</v>
      </c>
      <c r="E21" s="274">
        <v>10</v>
      </c>
      <c r="F21" s="10">
        <f t="shared" si="4"/>
        <v>500</v>
      </c>
      <c r="G21" s="289">
        <v>0.03</v>
      </c>
      <c r="H21" s="10">
        <f t="shared" si="5"/>
        <v>485</v>
      </c>
    </row>
    <row r="22" spans="1:8">
      <c r="A22" s="469"/>
      <c r="B22" s="273" t="s">
        <v>679</v>
      </c>
      <c r="C22" s="288">
        <v>0</v>
      </c>
      <c r="D22" s="10">
        <f t="shared" si="3"/>
        <v>0</v>
      </c>
      <c r="E22" s="274">
        <v>0</v>
      </c>
      <c r="F22" s="10">
        <f t="shared" si="4"/>
        <v>0</v>
      </c>
      <c r="G22" s="289">
        <v>0</v>
      </c>
      <c r="H22" s="10">
        <f t="shared" si="5"/>
        <v>0</v>
      </c>
    </row>
    <row r="23" spans="1:8">
      <c r="A23" s="303" t="s">
        <v>484</v>
      </c>
      <c r="B23" s="313">
        <v>0.6</v>
      </c>
      <c r="C23" s="315">
        <f>B9*B23</f>
        <v>600</v>
      </c>
      <c r="D23" s="10"/>
      <c r="E23" s="274"/>
      <c r="F23" s="10"/>
      <c r="G23" s="289"/>
      <c r="H23" s="10"/>
    </row>
    <row r="24" spans="1:8">
      <c r="A24" s="467" t="s">
        <v>400</v>
      </c>
      <c r="B24" s="273" t="s">
        <v>401</v>
      </c>
      <c r="C24" s="288">
        <v>0.15</v>
      </c>
      <c r="D24" s="10">
        <f>C$23*C24</f>
        <v>90</v>
      </c>
      <c r="E24" s="274">
        <v>15</v>
      </c>
      <c r="F24" s="10">
        <f t="shared" si="4"/>
        <v>1350</v>
      </c>
      <c r="G24" s="289">
        <v>0.05</v>
      </c>
      <c r="H24" s="10">
        <f t="shared" si="5"/>
        <v>1282.5</v>
      </c>
    </row>
    <row r="25" spans="1:8">
      <c r="A25" s="468"/>
      <c r="B25" s="273" t="s">
        <v>679</v>
      </c>
      <c r="C25" s="288">
        <v>0.7</v>
      </c>
      <c r="D25" s="10">
        <f>C$23*C25</f>
        <v>420</v>
      </c>
      <c r="E25" s="274">
        <v>10</v>
      </c>
      <c r="F25" s="10">
        <f t="shared" si="4"/>
        <v>4200</v>
      </c>
      <c r="G25" s="289">
        <v>0.05</v>
      </c>
      <c r="H25" s="10">
        <f t="shared" si="5"/>
        <v>3990</v>
      </c>
    </row>
    <row r="26" spans="1:8">
      <c r="A26" s="468"/>
      <c r="B26" s="273" t="s">
        <v>402</v>
      </c>
      <c r="C26" s="288">
        <v>0.1</v>
      </c>
      <c r="D26" s="10">
        <f>C$23*C26</f>
        <v>60</v>
      </c>
      <c r="E26" s="274">
        <v>8</v>
      </c>
      <c r="F26" s="10">
        <f t="shared" si="4"/>
        <v>480</v>
      </c>
      <c r="G26" s="289">
        <v>0.03</v>
      </c>
      <c r="H26" s="10">
        <f t="shared" si="5"/>
        <v>465.6</v>
      </c>
    </row>
    <row r="27" spans="1:8">
      <c r="A27" s="468"/>
      <c r="B27" s="273" t="s">
        <v>399</v>
      </c>
      <c r="C27" s="288">
        <v>0</v>
      </c>
      <c r="D27" s="10">
        <f t="shared" ref="D27:D31" si="6">C$23*C27</f>
        <v>0</v>
      </c>
      <c r="E27" s="274">
        <v>0</v>
      </c>
      <c r="F27" s="10">
        <f t="shared" si="4"/>
        <v>0</v>
      </c>
      <c r="G27" s="289">
        <v>0</v>
      </c>
      <c r="H27" s="10">
        <f t="shared" si="5"/>
        <v>0</v>
      </c>
    </row>
    <row r="28" spans="1:8">
      <c r="A28" s="468"/>
      <c r="B28" s="273" t="s">
        <v>482</v>
      </c>
      <c r="C28" s="288">
        <v>0</v>
      </c>
      <c r="D28" s="10">
        <f t="shared" si="6"/>
        <v>0</v>
      </c>
      <c r="E28" s="274"/>
      <c r="F28" s="10">
        <f t="shared" si="4"/>
        <v>0</v>
      </c>
      <c r="G28" s="289">
        <v>0</v>
      </c>
      <c r="H28" s="10">
        <f t="shared" si="5"/>
        <v>0</v>
      </c>
    </row>
    <row r="29" spans="1:8">
      <c r="A29" s="468"/>
      <c r="B29" s="273" t="s">
        <v>700</v>
      </c>
      <c r="C29" s="288">
        <v>0.05</v>
      </c>
      <c r="D29" s="10">
        <f t="shared" si="6"/>
        <v>30</v>
      </c>
      <c r="E29" s="274">
        <v>5</v>
      </c>
      <c r="F29" s="10">
        <f t="shared" si="4"/>
        <v>150</v>
      </c>
      <c r="G29" s="289">
        <v>0.01</v>
      </c>
      <c r="H29" s="10">
        <f t="shared" si="5"/>
        <v>148.5</v>
      </c>
    </row>
    <row r="30" spans="1:8">
      <c r="A30" s="468"/>
      <c r="B30" s="273"/>
      <c r="C30" s="288">
        <v>0</v>
      </c>
      <c r="D30" s="10">
        <f t="shared" si="6"/>
        <v>0</v>
      </c>
      <c r="E30" s="274"/>
      <c r="F30" s="10">
        <f t="shared" si="4"/>
        <v>0</v>
      </c>
      <c r="G30" s="289">
        <v>0</v>
      </c>
      <c r="H30" s="10">
        <f t="shared" si="5"/>
        <v>0</v>
      </c>
    </row>
    <row r="31" spans="1:8">
      <c r="A31" s="469"/>
      <c r="B31" s="273"/>
      <c r="C31" s="288">
        <v>0</v>
      </c>
      <c r="D31" s="10">
        <f t="shared" si="6"/>
        <v>0</v>
      </c>
      <c r="E31" s="274"/>
      <c r="F31" s="10">
        <f t="shared" si="4"/>
        <v>0</v>
      </c>
      <c r="G31" s="289">
        <v>0</v>
      </c>
      <c r="H31" s="10">
        <f t="shared" si="5"/>
        <v>0</v>
      </c>
    </row>
    <row r="32" spans="1:8">
      <c r="A32" s="303" t="s">
        <v>483</v>
      </c>
      <c r="B32" s="313">
        <v>0.1</v>
      </c>
      <c r="C32" s="282">
        <f>B9*B32</f>
        <v>100</v>
      </c>
      <c r="D32" s="10"/>
      <c r="E32" s="274"/>
      <c r="F32" s="10"/>
      <c r="G32" s="289"/>
      <c r="H32" s="10"/>
    </row>
    <row r="33" spans="1:8">
      <c r="A33" s="316" t="s">
        <v>467</v>
      </c>
      <c r="B33" s="273" t="s">
        <v>165</v>
      </c>
      <c r="C33" s="288">
        <v>0.05</v>
      </c>
      <c r="D33" s="10">
        <f>C$32*C33</f>
        <v>5</v>
      </c>
      <c r="E33" s="274">
        <v>4</v>
      </c>
      <c r="F33" s="10">
        <f t="shared" si="4"/>
        <v>20</v>
      </c>
      <c r="G33" s="289">
        <v>0.01</v>
      </c>
      <c r="H33" s="10">
        <f t="shared" si="5"/>
        <v>19.8</v>
      </c>
    </row>
    <row r="34" spans="1:8">
      <c r="A34" s="317"/>
      <c r="B34" s="273" t="s">
        <v>719</v>
      </c>
      <c r="C34" s="288">
        <v>0.05</v>
      </c>
      <c r="D34" s="10">
        <f>C$32*C34</f>
        <v>5</v>
      </c>
      <c r="E34" s="274">
        <v>3</v>
      </c>
      <c r="F34" s="10">
        <f t="shared" si="4"/>
        <v>15</v>
      </c>
      <c r="G34" s="289">
        <v>0.01</v>
      </c>
      <c r="H34" s="10">
        <f t="shared" si="5"/>
        <v>14.85</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66" t="s">
        <v>403</v>
      </c>
      <c r="B37" s="466"/>
      <c r="C37" s="466"/>
      <c r="D37" s="466"/>
      <c r="E37" s="466"/>
      <c r="F37" s="466"/>
      <c r="G37" s="466"/>
      <c r="H37" s="466"/>
    </row>
    <row r="39" spans="1:8" ht="18.75">
      <c r="A39" s="470" t="s">
        <v>563</v>
      </c>
      <c r="B39" s="471"/>
      <c r="C39" s="471"/>
      <c r="D39" s="471"/>
      <c r="E39" s="471"/>
      <c r="F39" s="471"/>
      <c r="G39" s="471"/>
      <c r="H39" s="472"/>
    </row>
    <row r="40" spans="1:8">
      <c r="A40" s="473" t="s">
        <v>0</v>
      </c>
      <c r="B40" s="304">
        <v>0.3</v>
      </c>
      <c r="C40" s="304">
        <f>B40+0.05</f>
        <v>0.35</v>
      </c>
      <c r="D40" s="304">
        <f t="shared" ref="D40:G40" si="7">C40+0.05</f>
        <v>0.39999999999999997</v>
      </c>
      <c r="E40" s="304">
        <f t="shared" si="7"/>
        <v>0.44999999999999996</v>
      </c>
      <c r="F40" s="304">
        <f t="shared" si="7"/>
        <v>0.49999999999999994</v>
      </c>
      <c r="G40" s="304">
        <f t="shared" si="7"/>
        <v>0.54999999999999993</v>
      </c>
      <c r="H40" s="304">
        <f>G40+0.05</f>
        <v>0.6</v>
      </c>
    </row>
    <row r="41" spans="1:8">
      <c r="A41" s="474"/>
      <c r="B41" s="295" t="s">
        <v>2</v>
      </c>
      <c r="C41" s="295" t="s">
        <v>3</v>
      </c>
      <c r="D41" s="295" t="s">
        <v>4</v>
      </c>
      <c r="E41" s="295" t="s">
        <v>5</v>
      </c>
      <c r="F41" s="295" t="s">
        <v>6</v>
      </c>
      <c r="G41" s="295" t="s">
        <v>167</v>
      </c>
      <c r="H41" s="295" t="s">
        <v>166</v>
      </c>
    </row>
    <row r="42" spans="1:8">
      <c r="A42" s="10" t="str">
        <f t="shared" ref="A42:A50" si="8">B14</f>
        <v>Soybean</v>
      </c>
      <c r="B42" s="10">
        <f t="shared" ref="B42:B50" si="9">H14*$B$40</f>
        <v>1336.5</v>
      </c>
      <c r="C42" s="10">
        <f t="shared" ref="C42:H51" si="10">(B42/B$40)*C$40</f>
        <v>1559.25</v>
      </c>
      <c r="D42" s="10">
        <f t="shared" si="10"/>
        <v>1781.9999999999998</v>
      </c>
      <c r="E42" s="10">
        <f t="shared" si="10"/>
        <v>2004.7499999999998</v>
      </c>
      <c r="F42" s="10">
        <f t="shared" si="10"/>
        <v>2227.4999999999995</v>
      </c>
      <c r="G42" s="10">
        <f t="shared" si="10"/>
        <v>2450.2499999999995</v>
      </c>
      <c r="H42" s="10">
        <f t="shared" si="10"/>
        <v>2673</v>
      </c>
    </row>
    <row r="43" spans="1:8">
      <c r="A43" s="10" t="str">
        <f t="shared" si="8"/>
        <v>Tur</v>
      </c>
      <c r="B43" s="10">
        <f t="shared" si="9"/>
        <v>142.5</v>
      </c>
      <c r="C43" s="10">
        <f t="shared" si="10"/>
        <v>166.25</v>
      </c>
      <c r="D43" s="10">
        <f t="shared" si="10"/>
        <v>190</v>
      </c>
      <c r="E43" s="10">
        <f t="shared" si="10"/>
        <v>213.75</v>
      </c>
      <c r="F43" s="10">
        <f t="shared" si="10"/>
        <v>237.5</v>
      </c>
      <c r="G43" s="10">
        <f t="shared" si="10"/>
        <v>261.25</v>
      </c>
      <c r="H43" s="10">
        <f t="shared" si="10"/>
        <v>285</v>
      </c>
    </row>
    <row r="44" spans="1:8">
      <c r="A44" s="10" t="str">
        <f t="shared" si="8"/>
        <v>Turmeric</v>
      </c>
      <c r="B44" s="10">
        <f t="shared" si="9"/>
        <v>1559.25</v>
      </c>
      <c r="C44" s="10">
        <f t="shared" si="10"/>
        <v>1819.1249999999998</v>
      </c>
      <c r="D44" s="10">
        <f t="shared" si="10"/>
        <v>2079</v>
      </c>
      <c r="E44" s="10">
        <f t="shared" si="10"/>
        <v>2338.8749999999995</v>
      </c>
      <c r="F44" s="10">
        <f t="shared" si="10"/>
        <v>2598.7499999999991</v>
      </c>
      <c r="G44" s="10">
        <f t="shared" si="10"/>
        <v>2858.6249999999991</v>
      </c>
      <c r="H44" s="10">
        <f t="shared" si="10"/>
        <v>3118.4999999999995</v>
      </c>
    </row>
    <row r="45" spans="1:8">
      <c r="A45" s="10" t="str">
        <f t="shared" si="8"/>
        <v>Moong</v>
      </c>
      <c r="B45" s="10">
        <f t="shared" si="9"/>
        <v>103.95</v>
      </c>
      <c r="C45" s="10">
        <f t="shared" si="10"/>
        <v>121.27499999999999</v>
      </c>
      <c r="D45" s="10">
        <f t="shared" si="10"/>
        <v>138.6</v>
      </c>
      <c r="E45" s="10">
        <f t="shared" si="10"/>
        <v>155.92499999999998</v>
      </c>
      <c r="F45" s="10">
        <f t="shared" si="10"/>
        <v>173.24999999999997</v>
      </c>
      <c r="G45" s="10">
        <f t="shared" si="10"/>
        <v>190.57499999999999</v>
      </c>
      <c r="H45" s="10">
        <f t="shared" si="10"/>
        <v>207.9</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Udid</v>
      </c>
      <c r="B47" s="10">
        <f t="shared" si="9"/>
        <v>118.8</v>
      </c>
      <c r="C47" s="10">
        <f t="shared" si="10"/>
        <v>138.6</v>
      </c>
      <c r="D47" s="10">
        <f t="shared" si="10"/>
        <v>158.39999999999998</v>
      </c>
      <c r="E47" s="10">
        <f t="shared" si="10"/>
        <v>178.2</v>
      </c>
      <c r="F47" s="10">
        <f t="shared" si="10"/>
        <v>197.99999999999997</v>
      </c>
      <c r="G47" s="10">
        <f t="shared" si="10"/>
        <v>217.79999999999998</v>
      </c>
      <c r="H47" s="10">
        <f t="shared" si="10"/>
        <v>237.6</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145.5</v>
      </c>
      <c r="C49" s="10">
        <f t="shared" si="10"/>
        <v>169.75</v>
      </c>
      <c r="D49" s="10">
        <f t="shared" si="10"/>
        <v>194</v>
      </c>
      <c r="E49" s="10">
        <f t="shared" si="10"/>
        <v>218.25</v>
      </c>
      <c r="F49" s="10">
        <f t="shared" si="10"/>
        <v>242.5</v>
      </c>
      <c r="G49" s="10">
        <f t="shared" si="10"/>
        <v>266.75</v>
      </c>
      <c r="H49" s="10">
        <f t="shared" si="10"/>
        <v>291</v>
      </c>
    </row>
    <row r="50" spans="1:8">
      <c r="A50" s="10" t="str">
        <f t="shared" si="8"/>
        <v>Channa</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384.75</v>
      </c>
      <c r="C51" s="10">
        <f t="shared" si="10"/>
        <v>448.87499999999994</v>
      </c>
      <c r="D51" s="10">
        <f t="shared" si="10"/>
        <v>513</v>
      </c>
      <c r="E51" s="10">
        <f t="shared" si="10"/>
        <v>577.12499999999989</v>
      </c>
      <c r="F51" s="10">
        <f t="shared" si="10"/>
        <v>641.24999999999977</v>
      </c>
      <c r="G51" s="10">
        <f t="shared" si="10"/>
        <v>705.37499999999977</v>
      </c>
      <c r="H51" s="10">
        <f t="shared" si="10"/>
        <v>769.49999999999989</v>
      </c>
    </row>
    <row r="52" spans="1:8">
      <c r="A52" s="10" t="str">
        <f t="shared" si="11"/>
        <v>Channa</v>
      </c>
      <c r="B52" s="10">
        <f t="shared" si="12"/>
        <v>1197</v>
      </c>
      <c r="C52" s="10">
        <f t="shared" ref="C52:H61" si="13">(B52/B$40)*C$40</f>
        <v>1396.5</v>
      </c>
      <c r="D52" s="10">
        <f t="shared" si="13"/>
        <v>1596</v>
      </c>
      <c r="E52" s="10">
        <f t="shared" si="13"/>
        <v>1795.5</v>
      </c>
      <c r="F52" s="10">
        <f t="shared" si="13"/>
        <v>1995</v>
      </c>
      <c r="G52" s="10">
        <f t="shared" si="13"/>
        <v>2194.5</v>
      </c>
      <c r="H52" s="10">
        <f t="shared" si="13"/>
        <v>2394</v>
      </c>
    </row>
    <row r="53" spans="1:8">
      <c r="A53" s="10" t="str">
        <f t="shared" si="11"/>
        <v>Jawar</v>
      </c>
      <c r="B53" s="10">
        <f t="shared" si="12"/>
        <v>139.68</v>
      </c>
      <c r="C53" s="10">
        <f t="shared" si="13"/>
        <v>162.96</v>
      </c>
      <c r="D53" s="10">
        <f t="shared" si="13"/>
        <v>186.24</v>
      </c>
      <c r="E53" s="10">
        <f t="shared" si="13"/>
        <v>209.52</v>
      </c>
      <c r="F53" s="10">
        <f t="shared" si="13"/>
        <v>232.8</v>
      </c>
      <c r="G53" s="10">
        <f t="shared" si="13"/>
        <v>256.08000000000004</v>
      </c>
      <c r="H53" s="10">
        <f t="shared" si="13"/>
        <v>279.36000000000007</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t="str">
        <f t="shared" si="11"/>
        <v>Groundnut</v>
      </c>
      <c r="B56" s="10">
        <f t="shared" si="12"/>
        <v>44.55</v>
      </c>
      <c r="C56" s="10">
        <f t="shared" si="13"/>
        <v>51.974999999999994</v>
      </c>
      <c r="D56" s="10">
        <f t="shared" si="13"/>
        <v>59.4</v>
      </c>
      <c r="E56" s="10">
        <f t="shared" si="13"/>
        <v>66.824999999999989</v>
      </c>
      <c r="F56" s="10">
        <f t="shared" si="13"/>
        <v>74.249999999999986</v>
      </c>
      <c r="G56" s="10">
        <f t="shared" si="13"/>
        <v>81.674999999999997</v>
      </c>
      <c r="H56" s="10">
        <f t="shared" si="13"/>
        <v>89.1</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Soybean</v>
      </c>
      <c r="B59" s="10">
        <f>H33*$B$40</f>
        <v>5.94</v>
      </c>
      <c r="C59" s="10">
        <f t="shared" si="13"/>
        <v>6.93</v>
      </c>
      <c r="D59" s="10">
        <f t="shared" si="13"/>
        <v>7.92</v>
      </c>
      <c r="E59" s="10">
        <f t="shared" si="13"/>
        <v>8.91</v>
      </c>
      <c r="F59" s="10">
        <f t="shared" si="13"/>
        <v>9.8999999999999986</v>
      </c>
      <c r="G59" s="10">
        <f t="shared" si="13"/>
        <v>10.889999999999999</v>
      </c>
      <c r="H59" s="10">
        <f t="shared" si="13"/>
        <v>11.88</v>
      </c>
    </row>
    <row r="60" spans="1:8">
      <c r="A60" s="10" t="str">
        <f>B34</f>
        <v>Paddy</v>
      </c>
      <c r="B60" s="10">
        <f>H34*$B$40</f>
        <v>4.4550000000000001</v>
      </c>
      <c r="C60" s="10">
        <f t="shared" si="13"/>
        <v>5.1974999999999998</v>
      </c>
      <c r="D60" s="10">
        <f t="shared" si="13"/>
        <v>5.9399999999999995</v>
      </c>
      <c r="E60" s="10">
        <f t="shared" si="13"/>
        <v>6.6824999999999992</v>
      </c>
      <c r="F60" s="10">
        <f t="shared" si="13"/>
        <v>7.4249999999999989</v>
      </c>
      <c r="G60" s="10">
        <f t="shared" si="13"/>
        <v>8.1674999999999986</v>
      </c>
      <c r="H60" s="10">
        <f t="shared" si="13"/>
        <v>8.91</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75" t="s">
        <v>564</v>
      </c>
      <c r="B64" s="476"/>
      <c r="C64" s="476"/>
      <c r="D64" s="476"/>
      <c r="E64" s="476"/>
      <c r="F64" s="476"/>
      <c r="G64" s="476"/>
      <c r="H64" s="477"/>
    </row>
    <row r="65" spans="1:8">
      <c r="A65" s="478" t="s">
        <v>0</v>
      </c>
      <c r="B65" s="305">
        <v>0.1</v>
      </c>
      <c r="C65" s="305">
        <f>B65+0.05</f>
        <v>0.15000000000000002</v>
      </c>
      <c r="D65" s="305">
        <f t="shared" ref="D65:G65" si="15">C65+0.05</f>
        <v>0.2</v>
      </c>
      <c r="E65" s="305">
        <f t="shared" si="15"/>
        <v>0.25</v>
      </c>
      <c r="F65" s="305">
        <f t="shared" si="15"/>
        <v>0.3</v>
      </c>
      <c r="G65" s="305">
        <f t="shared" si="15"/>
        <v>0.35</v>
      </c>
      <c r="H65" s="305">
        <f>G65+0.05</f>
        <v>0.39999999999999997</v>
      </c>
    </row>
    <row r="66" spans="1:8">
      <c r="A66" s="479"/>
      <c r="B66" s="295" t="s">
        <v>2</v>
      </c>
      <c r="C66" s="295" t="s">
        <v>3</v>
      </c>
      <c r="D66" s="295" t="s">
        <v>4</v>
      </c>
      <c r="E66" s="295" t="s">
        <v>5</v>
      </c>
      <c r="F66" s="295" t="s">
        <v>6</v>
      </c>
      <c r="G66" s="295" t="s">
        <v>167</v>
      </c>
      <c r="H66" s="295" t="s">
        <v>166</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Tur</v>
      </c>
      <c r="B68" s="10">
        <f t="shared" ref="B68:B75" si="18">H15*$B$65</f>
        <v>47.5</v>
      </c>
      <c r="C68" s="10">
        <f>(B68/B$65)*C$65</f>
        <v>71.250000000000014</v>
      </c>
      <c r="D68" s="10">
        <f t="shared" si="17"/>
        <v>95</v>
      </c>
      <c r="E68" s="10">
        <f t="shared" si="17"/>
        <v>118.75</v>
      </c>
      <c r="F68" s="10">
        <f t="shared" si="17"/>
        <v>142.5</v>
      </c>
      <c r="G68" s="10">
        <f t="shared" si="17"/>
        <v>166.25</v>
      </c>
      <c r="H68" s="10">
        <f t="shared" si="17"/>
        <v>190</v>
      </c>
    </row>
    <row r="69" spans="1:8">
      <c r="A69" s="10" t="str">
        <f t="shared" si="16"/>
        <v>Turmeric</v>
      </c>
      <c r="B69" s="10">
        <f t="shared" si="18"/>
        <v>519.75</v>
      </c>
      <c r="C69" s="10">
        <f t="shared" ref="C69:H69" si="19">(B69/B$65)*C$65</f>
        <v>779.62500000000011</v>
      </c>
      <c r="D69" s="10">
        <f t="shared" si="19"/>
        <v>1039.5</v>
      </c>
      <c r="E69" s="10">
        <f t="shared" si="19"/>
        <v>1299.375</v>
      </c>
      <c r="F69" s="10">
        <f t="shared" si="19"/>
        <v>1559.25</v>
      </c>
      <c r="G69" s="10">
        <f t="shared" si="19"/>
        <v>1819.1249999999998</v>
      </c>
      <c r="H69" s="10">
        <f t="shared" si="19"/>
        <v>2079</v>
      </c>
    </row>
    <row r="70" spans="1:8">
      <c r="A70" s="10" t="str">
        <f t="shared" si="16"/>
        <v>Moong</v>
      </c>
      <c r="B70" s="10">
        <f t="shared" si="18"/>
        <v>34.65</v>
      </c>
      <c r="C70" s="10">
        <f t="shared" ref="C70:H70" si="20">(B70/B$65)*C$65</f>
        <v>51.975000000000001</v>
      </c>
      <c r="D70" s="10">
        <f t="shared" si="20"/>
        <v>69.3</v>
      </c>
      <c r="E70" s="10">
        <f t="shared" si="20"/>
        <v>86.624999999999986</v>
      </c>
      <c r="F70" s="10">
        <f t="shared" si="20"/>
        <v>103.94999999999997</v>
      </c>
      <c r="G70" s="10">
        <f t="shared" si="20"/>
        <v>121.27499999999998</v>
      </c>
      <c r="H70" s="10">
        <f t="shared" si="20"/>
        <v>138.59999999999997</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Udid</v>
      </c>
      <c r="B72" s="10">
        <f t="shared" si="18"/>
        <v>39.6</v>
      </c>
      <c r="C72" s="10">
        <f t="shared" ref="C72:H72" si="22">(B72/B$65)*C$65</f>
        <v>59.400000000000006</v>
      </c>
      <c r="D72" s="10">
        <f t="shared" si="22"/>
        <v>79.2</v>
      </c>
      <c r="E72" s="10">
        <f t="shared" si="22"/>
        <v>99</v>
      </c>
      <c r="F72" s="10">
        <f t="shared" si="22"/>
        <v>118.8</v>
      </c>
      <c r="G72" s="10">
        <f t="shared" si="22"/>
        <v>138.6</v>
      </c>
      <c r="H72" s="10">
        <f t="shared" si="22"/>
        <v>158.39999999999998</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48.5</v>
      </c>
      <c r="C74" s="10">
        <f t="shared" ref="C74:H74" si="24">(B74/B$65)*C$65</f>
        <v>72.750000000000014</v>
      </c>
      <c r="D74" s="10">
        <f t="shared" si="24"/>
        <v>97</v>
      </c>
      <c r="E74" s="10">
        <f t="shared" si="24"/>
        <v>121.25</v>
      </c>
      <c r="F74" s="10">
        <f t="shared" si="24"/>
        <v>145.5</v>
      </c>
      <c r="G74" s="10">
        <f t="shared" si="24"/>
        <v>169.75</v>
      </c>
      <c r="H74" s="10">
        <f t="shared" si="24"/>
        <v>194</v>
      </c>
    </row>
    <row r="75" spans="1:8">
      <c r="A75" s="10" t="str">
        <f t="shared" si="16"/>
        <v>Channa</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128.25</v>
      </c>
      <c r="C76" s="10">
        <f t="shared" ref="C76:H76" si="27">(B76/B$65)*C$65</f>
        <v>192.37500000000003</v>
      </c>
      <c r="D76" s="10">
        <f t="shared" si="27"/>
        <v>256.5</v>
      </c>
      <c r="E76" s="10">
        <f t="shared" si="27"/>
        <v>320.625</v>
      </c>
      <c r="F76" s="10">
        <f t="shared" si="27"/>
        <v>384.75</v>
      </c>
      <c r="G76" s="10">
        <f t="shared" si="27"/>
        <v>448.87499999999994</v>
      </c>
      <c r="H76" s="10">
        <f t="shared" si="27"/>
        <v>513</v>
      </c>
    </row>
    <row r="77" spans="1:8">
      <c r="A77" s="10" t="str">
        <f t="shared" si="16"/>
        <v>Channa</v>
      </c>
      <c r="B77" s="10">
        <f t="shared" si="26"/>
        <v>399</v>
      </c>
      <c r="C77" s="10">
        <f t="shared" ref="C77:H77" si="28">(B77/B$65)*C$65</f>
        <v>598.50000000000011</v>
      </c>
      <c r="D77" s="10">
        <f t="shared" si="28"/>
        <v>798</v>
      </c>
      <c r="E77" s="10">
        <f t="shared" si="28"/>
        <v>997.5</v>
      </c>
      <c r="F77" s="10">
        <f t="shared" si="28"/>
        <v>1197</v>
      </c>
      <c r="G77" s="10">
        <f t="shared" si="28"/>
        <v>1396.5</v>
      </c>
      <c r="H77" s="10">
        <f t="shared" si="28"/>
        <v>1596</v>
      </c>
    </row>
    <row r="78" spans="1:8">
      <c r="A78" s="10" t="str">
        <f t="shared" si="16"/>
        <v>Jawar</v>
      </c>
      <c r="B78" s="10">
        <f t="shared" si="26"/>
        <v>46.56</v>
      </c>
      <c r="C78" s="10">
        <f t="shared" ref="C78:H78" si="29">(B78/B$65)*C$65</f>
        <v>69.840000000000018</v>
      </c>
      <c r="D78" s="10">
        <f t="shared" si="29"/>
        <v>93.12</v>
      </c>
      <c r="E78" s="10">
        <f t="shared" si="29"/>
        <v>116.4</v>
      </c>
      <c r="F78" s="10">
        <f t="shared" si="29"/>
        <v>139.68</v>
      </c>
      <c r="G78" s="10">
        <f t="shared" si="29"/>
        <v>162.96</v>
      </c>
      <c r="H78" s="10">
        <f t="shared" si="29"/>
        <v>186.24</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t="str">
        <f t="shared" si="16"/>
        <v>Groundnut</v>
      </c>
      <c r="B81" s="10">
        <f t="shared" si="26"/>
        <v>14.850000000000001</v>
      </c>
      <c r="C81" s="10">
        <f t="shared" ref="C81:H81" si="32">(B81/B$65)*C$65</f>
        <v>22.275000000000002</v>
      </c>
      <c r="D81" s="10">
        <f t="shared" si="32"/>
        <v>29.700000000000003</v>
      </c>
      <c r="E81" s="10">
        <f t="shared" si="32"/>
        <v>37.125</v>
      </c>
      <c r="F81" s="10">
        <f t="shared" si="32"/>
        <v>44.55</v>
      </c>
      <c r="G81" s="10">
        <f t="shared" si="32"/>
        <v>51.974999999999994</v>
      </c>
      <c r="H81" s="10">
        <f t="shared" si="32"/>
        <v>59.4</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Soybean</v>
      </c>
      <c r="B84" s="10">
        <f>H33*$B$65</f>
        <v>1.9800000000000002</v>
      </c>
      <c r="C84" s="10">
        <f t="shared" ref="C84:H84" si="35">(B84/B$65)*C$65</f>
        <v>2.9700000000000006</v>
      </c>
      <c r="D84" s="10">
        <f t="shared" si="35"/>
        <v>3.9600000000000004</v>
      </c>
      <c r="E84" s="10">
        <f t="shared" si="35"/>
        <v>4.95</v>
      </c>
      <c r="F84" s="10">
        <f t="shared" si="35"/>
        <v>5.94</v>
      </c>
      <c r="G84" s="10">
        <f t="shared" si="35"/>
        <v>6.93</v>
      </c>
      <c r="H84" s="10">
        <f t="shared" si="35"/>
        <v>7.92</v>
      </c>
    </row>
    <row r="85" spans="1:9">
      <c r="A85" s="10" t="str">
        <f t="shared" si="16"/>
        <v>Paddy</v>
      </c>
      <c r="B85" s="10">
        <f>H34*$B$65</f>
        <v>1.4850000000000001</v>
      </c>
      <c r="C85" s="10">
        <f t="shared" ref="C85:H85" si="36">(B85/B$65)*C$65</f>
        <v>2.2275000000000005</v>
      </c>
      <c r="D85" s="10">
        <f t="shared" si="36"/>
        <v>2.9700000000000006</v>
      </c>
      <c r="E85" s="10">
        <f t="shared" si="36"/>
        <v>3.7125000000000008</v>
      </c>
      <c r="F85" s="10">
        <f t="shared" si="36"/>
        <v>4.455000000000001</v>
      </c>
      <c r="G85" s="10">
        <f t="shared" si="36"/>
        <v>5.1975000000000007</v>
      </c>
      <c r="H85" s="10">
        <f t="shared" si="36"/>
        <v>5.94</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83"/>
      <c r="C88" s="283"/>
      <c r="D88" s="283"/>
      <c r="E88" s="283"/>
      <c r="F88" s="283"/>
      <c r="G88" s="283"/>
      <c r="H88" s="283"/>
      <c r="I88" s="283"/>
    </row>
    <row r="89" spans="1:9">
      <c r="A89" s="480" t="s">
        <v>565</v>
      </c>
      <c r="B89" s="481"/>
      <c r="C89" s="481"/>
      <c r="D89" s="481"/>
      <c r="E89" s="481"/>
      <c r="F89" s="481"/>
      <c r="G89" s="481"/>
      <c r="H89" s="482"/>
    </row>
    <row r="90" spans="1:9">
      <c r="A90" s="464" t="s">
        <v>0</v>
      </c>
      <c r="B90" s="329">
        <v>0.65</v>
      </c>
      <c r="C90" s="330">
        <f>B90+0.05</f>
        <v>0.70000000000000007</v>
      </c>
      <c r="D90" s="330">
        <f t="shared" ref="D90:G90" si="39">C90+0.05</f>
        <v>0.75000000000000011</v>
      </c>
      <c r="E90" s="330">
        <f t="shared" si="39"/>
        <v>0.80000000000000016</v>
      </c>
      <c r="F90" s="330">
        <f t="shared" si="39"/>
        <v>0.8500000000000002</v>
      </c>
      <c r="G90" s="330">
        <f t="shared" si="39"/>
        <v>0.90000000000000024</v>
      </c>
      <c r="H90" s="330">
        <f>G90+0.05</f>
        <v>0.95000000000000029</v>
      </c>
    </row>
    <row r="91" spans="1:9">
      <c r="A91" s="465"/>
      <c r="B91" s="295" t="s">
        <v>2</v>
      </c>
      <c r="C91" s="295" t="s">
        <v>3</v>
      </c>
      <c r="D91" s="295" t="s">
        <v>4</v>
      </c>
      <c r="E91" s="295" t="s">
        <v>5</v>
      </c>
      <c r="F91" s="295" t="s">
        <v>6</v>
      </c>
      <c r="G91" s="295" t="s">
        <v>167</v>
      </c>
      <c r="H91" s="295" t="s">
        <v>166</v>
      </c>
    </row>
    <row r="92" spans="1:9" s="13" customFormat="1">
      <c r="A92" s="10" t="str">
        <f t="shared" ref="A92:A112" si="40">A67</f>
        <v>Soybean</v>
      </c>
      <c r="B92" s="10">
        <f t="shared" ref="B92:B100" si="41">D14*$B$90</f>
        <v>292.5</v>
      </c>
      <c r="C92" s="292">
        <f t="shared" ref="C92:H92" si="42">(B92/B$90)*C$90</f>
        <v>315.00000000000006</v>
      </c>
      <c r="D92" s="292">
        <f t="shared" si="42"/>
        <v>337.50000000000011</v>
      </c>
      <c r="E92" s="292">
        <f t="shared" si="42"/>
        <v>360.00000000000011</v>
      </c>
      <c r="F92" s="292">
        <f t="shared" si="42"/>
        <v>382.50000000000011</v>
      </c>
      <c r="G92" s="292">
        <f t="shared" si="42"/>
        <v>405.00000000000011</v>
      </c>
      <c r="H92" s="292">
        <f t="shared" si="42"/>
        <v>427.50000000000011</v>
      </c>
    </row>
    <row r="93" spans="1:9">
      <c r="A93" s="10" t="str">
        <f t="shared" si="40"/>
        <v>Tur</v>
      </c>
      <c r="B93" s="10">
        <f t="shared" si="41"/>
        <v>32.5</v>
      </c>
      <c r="C93" s="292">
        <f t="shared" ref="C93:C113" si="43">(B93/B$90)*C$90</f>
        <v>35</v>
      </c>
      <c r="D93" s="292">
        <f>(C93/C90)*D90</f>
        <v>37.5</v>
      </c>
      <c r="E93" s="292">
        <f t="shared" ref="E93:G93" si="44">(D93/D90)*E90</f>
        <v>40</v>
      </c>
      <c r="F93" s="292">
        <f t="shared" si="44"/>
        <v>42.500000000000007</v>
      </c>
      <c r="G93" s="292">
        <f t="shared" si="44"/>
        <v>45.000000000000014</v>
      </c>
      <c r="H93" s="292">
        <f>(G93/G90)*H90</f>
        <v>47.500000000000014</v>
      </c>
    </row>
    <row r="94" spans="1:9">
      <c r="A94" s="10" t="str">
        <f t="shared" si="40"/>
        <v>Turmeric</v>
      </c>
      <c r="B94" s="10">
        <f t="shared" si="41"/>
        <v>227.5</v>
      </c>
      <c r="C94" s="292">
        <f t="shared" si="43"/>
        <v>245.00000000000003</v>
      </c>
      <c r="D94" s="292">
        <f t="shared" ref="D94:H103" si="45">(C94/C$90)*D$90</f>
        <v>262.50000000000006</v>
      </c>
      <c r="E94" s="292">
        <f t="shared" si="45"/>
        <v>280.00000000000006</v>
      </c>
      <c r="F94" s="292">
        <f t="shared" si="45"/>
        <v>297.50000000000006</v>
      </c>
      <c r="G94" s="292">
        <f t="shared" si="45"/>
        <v>315.00000000000011</v>
      </c>
      <c r="H94" s="292">
        <f t="shared" si="45"/>
        <v>332.50000000000017</v>
      </c>
    </row>
    <row r="95" spans="1:9">
      <c r="A95" s="10" t="str">
        <f t="shared" si="40"/>
        <v>Moong</v>
      </c>
      <c r="B95" s="10">
        <f t="shared" si="41"/>
        <v>32.5</v>
      </c>
      <c r="C95" s="292">
        <f t="shared" si="43"/>
        <v>35</v>
      </c>
      <c r="D95" s="292">
        <f t="shared" si="45"/>
        <v>37.5</v>
      </c>
      <c r="E95" s="292">
        <f t="shared" si="45"/>
        <v>40</v>
      </c>
      <c r="F95" s="292">
        <f t="shared" si="45"/>
        <v>42.500000000000007</v>
      </c>
      <c r="G95" s="292">
        <f t="shared" si="45"/>
        <v>45.000000000000014</v>
      </c>
      <c r="H95" s="292">
        <f t="shared" si="45"/>
        <v>47.500000000000014</v>
      </c>
    </row>
    <row r="96" spans="1:9">
      <c r="A96" s="10" t="str">
        <f t="shared" si="40"/>
        <v>Maize</v>
      </c>
      <c r="B96" s="292">
        <f t="shared" si="41"/>
        <v>0</v>
      </c>
      <c r="C96" s="292">
        <f t="shared" si="43"/>
        <v>0</v>
      </c>
      <c r="D96" s="292">
        <f t="shared" si="45"/>
        <v>0</v>
      </c>
      <c r="E96" s="292">
        <f t="shared" si="45"/>
        <v>0</v>
      </c>
      <c r="F96" s="292">
        <f t="shared" si="45"/>
        <v>0</v>
      </c>
      <c r="G96" s="292">
        <f t="shared" si="45"/>
        <v>0</v>
      </c>
      <c r="H96" s="292">
        <f t="shared" si="45"/>
        <v>0</v>
      </c>
    </row>
    <row r="97" spans="1:8">
      <c r="A97" s="10" t="str">
        <f t="shared" si="40"/>
        <v>Udid</v>
      </c>
      <c r="B97" s="10">
        <f t="shared" si="41"/>
        <v>32.5</v>
      </c>
      <c r="C97" s="292">
        <f t="shared" si="43"/>
        <v>35</v>
      </c>
      <c r="D97" s="292">
        <f t="shared" si="45"/>
        <v>37.5</v>
      </c>
      <c r="E97" s="292">
        <f t="shared" si="45"/>
        <v>40</v>
      </c>
      <c r="F97" s="292">
        <f t="shared" si="45"/>
        <v>42.500000000000007</v>
      </c>
      <c r="G97" s="292">
        <f t="shared" si="45"/>
        <v>45.000000000000014</v>
      </c>
      <c r="H97" s="292">
        <f t="shared" si="45"/>
        <v>47.500000000000014</v>
      </c>
    </row>
    <row r="98" spans="1:8">
      <c r="A98" s="10" t="str">
        <f t="shared" si="40"/>
        <v>Bajra</v>
      </c>
      <c r="B98" s="10">
        <f t="shared" si="41"/>
        <v>0</v>
      </c>
      <c r="C98" s="292">
        <f t="shared" si="43"/>
        <v>0</v>
      </c>
      <c r="D98" s="292">
        <f t="shared" si="45"/>
        <v>0</v>
      </c>
      <c r="E98" s="292">
        <f t="shared" si="45"/>
        <v>0</v>
      </c>
      <c r="F98" s="292">
        <f t="shared" si="45"/>
        <v>0</v>
      </c>
      <c r="G98" s="292">
        <f t="shared" si="45"/>
        <v>0</v>
      </c>
      <c r="H98" s="292">
        <f t="shared" si="45"/>
        <v>0</v>
      </c>
    </row>
    <row r="99" spans="1:8">
      <c r="A99" s="10" t="str">
        <f t="shared" si="40"/>
        <v>Jawar</v>
      </c>
      <c r="B99" s="10">
        <f t="shared" si="41"/>
        <v>32.5</v>
      </c>
      <c r="C99" s="292">
        <f t="shared" si="43"/>
        <v>35</v>
      </c>
      <c r="D99" s="292">
        <f t="shared" si="45"/>
        <v>37.5</v>
      </c>
      <c r="E99" s="292">
        <f t="shared" si="45"/>
        <v>40</v>
      </c>
      <c r="F99" s="292">
        <f t="shared" si="45"/>
        <v>42.500000000000007</v>
      </c>
      <c r="G99" s="292">
        <f t="shared" si="45"/>
        <v>45.000000000000014</v>
      </c>
      <c r="H99" s="292">
        <f t="shared" si="45"/>
        <v>47.500000000000014</v>
      </c>
    </row>
    <row r="100" spans="1:8">
      <c r="A100" s="10" t="str">
        <f t="shared" si="40"/>
        <v>Channa</v>
      </c>
      <c r="B100" s="10">
        <f t="shared" si="41"/>
        <v>0</v>
      </c>
      <c r="C100" s="292">
        <f t="shared" si="43"/>
        <v>0</v>
      </c>
      <c r="D100" s="292">
        <f t="shared" si="45"/>
        <v>0</v>
      </c>
      <c r="E100" s="292">
        <f t="shared" si="45"/>
        <v>0</v>
      </c>
      <c r="F100" s="292">
        <f t="shared" si="45"/>
        <v>0</v>
      </c>
      <c r="G100" s="292">
        <f t="shared" si="45"/>
        <v>0</v>
      </c>
      <c r="H100" s="292">
        <f t="shared" si="45"/>
        <v>0</v>
      </c>
    </row>
    <row r="101" spans="1:8">
      <c r="A101" s="10" t="str">
        <f t="shared" si="40"/>
        <v>Wheat</v>
      </c>
      <c r="B101" s="10">
        <f t="shared" ref="B101:B108" si="46">D24*$B$90</f>
        <v>58.5</v>
      </c>
      <c r="C101" s="292">
        <f t="shared" si="43"/>
        <v>63.000000000000007</v>
      </c>
      <c r="D101" s="292">
        <f t="shared" si="45"/>
        <v>67.500000000000014</v>
      </c>
      <c r="E101" s="292">
        <f t="shared" si="45"/>
        <v>72.000000000000014</v>
      </c>
      <c r="F101" s="292">
        <f t="shared" si="45"/>
        <v>76.500000000000014</v>
      </c>
      <c r="G101" s="292">
        <f t="shared" si="45"/>
        <v>81.000000000000028</v>
      </c>
      <c r="H101" s="292">
        <f t="shared" si="45"/>
        <v>85.500000000000043</v>
      </c>
    </row>
    <row r="102" spans="1:8">
      <c r="A102" s="10" t="str">
        <f t="shared" si="40"/>
        <v>Channa</v>
      </c>
      <c r="B102" s="10">
        <f t="shared" si="46"/>
        <v>273</v>
      </c>
      <c r="C102" s="292">
        <f t="shared" si="43"/>
        <v>294</v>
      </c>
      <c r="D102" s="292">
        <f t="shared" si="45"/>
        <v>315</v>
      </c>
      <c r="E102" s="292">
        <f t="shared" si="45"/>
        <v>336</v>
      </c>
      <c r="F102" s="292">
        <f t="shared" si="45"/>
        <v>357.00000000000006</v>
      </c>
      <c r="G102" s="292">
        <f t="shared" si="45"/>
        <v>378.00000000000006</v>
      </c>
      <c r="H102" s="292">
        <f t="shared" si="45"/>
        <v>399.00000000000006</v>
      </c>
    </row>
    <row r="103" spans="1:8">
      <c r="A103" s="10" t="str">
        <f t="shared" si="40"/>
        <v>Jawar</v>
      </c>
      <c r="B103" s="10">
        <f t="shared" si="46"/>
        <v>39</v>
      </c>
      <c r="C103" s="292">
        <f t="shared" si="43"/>
        <v>42.000000000000007</v>
      </c>
      <c r="D103" s="292">
        <f t="shared" si="45"/>
        <v>45.000000000000014</v>
      </c>
      <c r="E103" s="292">
        <f t="shared" si="45"/>
        <v>48.000000000000014</v>
      </c>
      <c r="F103" s="292">
        <f t="shared" si="45"/>
        <v>51.000000000000021</v>
      </c>
      <c r="G103" s="292">
        <f t="shared" si="45"/>
        <v>54.000000000000028</v>
      </c>
      <c r="H103" s="292">
        <f t="shared" si="45"/>
        <v>57.000000000000028</v>
      </c>
    </row>
    <row r="104" spans="1:8">
      <c r="A104" s="10" t="str">
        <f t="shared" si="40"/>
        <v>Maize</v>
      </c>
      <c r="B104" s="10">
        <f t="shared" si="46"/>
        <v>0</v>
      </c>
      <c r="C104" s="292">
        <f t="shared" si="43"/>
        <v>0</v>
      </c>
      <c r="D104" s="292">
        <f t="shared" ref="D104:H113" si="47">(C104/C$90)*D$90</f>
        <v>0</v>
      </c>
      <c r="E104" s="292">
        <f t="shared" si="47"/>
        <v>0</v>
      </c>
      <c r="F104" s="292">
        <f t="shared" si="47"/>
        <v>0</v>
      </c>
      <c r="G104" s="292">
        <f t="shared" si="47"/>
        <v>0</v>
      </c>
      <c r="H104" s="292">
        <f t="shared" si="47"/>
        <v>0</v>
      </c>
    </row>
    <row r="105" spans="1:8">
      <c r="A105" s="10" t="str">
        <f t="shared" si="40"/>
        <v>Safflower</v>
      </c>
      <c r="B105" s="10">
        <f t="shared" si="46"/>
        <v>0</v>
      </c>
      <c r="C105" s="292">
        <f t="shared" si="43"/>
        <v>0</v>
      </c>
      <c r="D105" s="292">
        <f t="shared" si="47"/>
        <v>0</v>
      </c>
      <c r="E105" s="292">
        <f t="shared" si="47"/>
        <v>0</v>
      </c>
      <c r="F105" s="292">
        <f t="shared" si="47"/>
        <v>0</v>
      </c>
      <c r="G105" s="292">
        <f t="shared" si="47"/>
        <v>0</v>
      </c>
      <c r="H105" s="292">
        <f t="shared" si="47"/>
        <v>0</v>
      </c>
    </row>
    <row r="106" spans="1:8">
      <c r="A106" s="10" t="str">
        <f t="shared" si="40"/>
        <v>Groundnut</v>
      </c>
      <c r="B106" s="10">
        <f t="shared" si="46"/>
        <v>19.5</v>
      </c>
      <c r="C106" s="292">
        <f t="shared" si="43"/>
        <v>21.000000000000004</v>
      </c>
      <c r="D106" s="292">
        <f t="shared" si="47"/>
        <v>22.500000000000007</v>
      </c>
      <c r="E106" s="292">
        <f t="shared" si="47"/>
        <v>24.000000000000007</v>
      </c>
      <c r="F106" s="292">
        <f t="shared" si="47"/>
        <v>25.500000000000011</v>
      </c>
      <c r="G106" s="292">
        <f t="shared" si="47"/>
        <v>27.000000000000014</v>
      </c>
      <c r="H106" s="292">
        <f t="shared" si="47"/>
        <v>28.500000000000014</v>
      </c>
    </row>
    <row r="107" spans="1:8">
      <c r="A107" s="10">
        <f t="shared" si="40"/>
        <v>0</v>
      </c>
      <c r="B107" s="10">
        <f t="shared" si="46"/>
        <v>0</v>
      </c>
      <c r="C107" s="292">
        <f t="shared" si="43"/>
        <v>0</v>
      </c>
      <c r="D107" s="292">
        <f t="shared" si="47"/>
        <v>0</v>
      </c>
      <c r="E107" s="292">
        <f t="shared" si="47"/>
        <v>0</v>
      </c>
      <c r="F107" s="292">
        <f t="shared" si="47"/>
        <v>0</v>
      </c>
      <c r="G107" s="292">
        <f t="shared" si="47"/>
        <v>0</v>
      </c>
      <c r="H107" s="292">
        <f t="shared" si="47"/>
        <v>0</v>
      </c>
    </row>
    <row r="108" spans="1:8">
      <c r="A108" s="10">
        <f t="shared" si="40"/>
        <v>0</v>
      </c>
      <c r="B108" s="10">
        <f t="shared" si="46"/>
        <v>0</v>
      </c>
      <c r="C108" s="292">
        <f t="shared" si="43"/>
        <v>0</v>
      </c>
      <c r="D108" s="292">
        <f t="shared" si="47"/>
        <v>0</v>
      </c>
      <c r="E108" s="292">
        <f t="shared" si="47"/>
        <v>0</v>
      </c>
      <c r="F108" s="292">
        <f t="shared" si="47"/>
        <v>0</v>
      </c>
      <c r="G108" s="292">
        <f t="shared" si="47"/>
        <v>0</v>
      </c>
      <c r="H108" s="292">
        <f t="shared" si="47"/>
        <v>0</v>
      </c>
    </row>
    <row r="109" spans="1:8">
      <c r="A109" s="10" t="str">
        <f t="shared" si="40"/>
        <v>Soybean</v>
      </c>
      <c r="B109" s="10">
        <f>D33*$B$90</f>
        <v>3.25</v>
      </c>
      <c r="C109" s="292">
        <f t="shared" si="43"/>
        <v>3.5000000000000004</v>
      </c>
      <c r="D109" s="292">
        <f t="shared" si="47"/>
        <v>3.7500000000000004</v>
      </c>
      <c r="E109" s="292">
        <f t="shared" si="47"/>
        <v>4.0000000000000009</v>
      </c>
      <c r="F109" s="292">
        <f t="shared" si="47"/>
        <v>4.2500000000000009</v>
      </c>
      <c r="G109" s="292">
        <f t="shared" si="47"/>
        <v>4.5000000000000009</v>
      </c>
      <c r="H109" s="292">
        <f t="shared" si="47"/>
        <v>4.7500000000000018</v>
      </c>
    </row>
    <row r="110" spans="1:8">
      <c r="A110" s="10" t="str">
        <f t="shared" si="40"/>
        <v>Paddy</v>
      </c>
      <c r="B110" s="10">
        <f>D34*$B$90</f>
        <v>3.25</v>
      </c>
      <c r="C110" s="292">
        <f t="shared" si="43"/>
        <v>3.5000000000000004</v>
      </c>
      <c r="D110" s="292">
        <f t="shared" si="47"/>
        <v>3.7500000000000004</v>
      </c>
      <c r="E110" s="292">
        <f t="shared" si="47"/>
        <v>4.0000000000000009</v>
      </c>
      <c r="F110" s="292">
        <f t="shared" si="47"/>
        <v>4.2500000000000009</v>
      </c>
      <c r="G110" s="292">
        <f t="shared" si="47"/>
        <v>4.5000000000000009</v>
      </c>
      <c r="H110" s="292">
        <f t="shared" si="47"/>
        <v>4.7500000000000018</v>
      </c>
    </row>
    <row r="111" spans="1:8">
      <c r="A111" s="10">
        <f t="shared" si="40"/>
        <v>0</v>
      </c>
      <c r="B111" s="10">
        <f>D34*$B$90</f>
        <v>3.25</v>
      </c>
      <c r="C111" s="292">
        <f t="shared" si="43"/>
        <v>3.5000000000000004</v>
      </c>
      <c r="D111" s="292">
        <f t="shared" si="47"/>
        <v>3.7500000000000004</v>
      </c>
      <c r="E111" s="292">
        <f t="shared" si="47"/>
        <v>4.0000000000000009</v>
      </c>
      <c r="F111" s="292">
        <f t="shared" si="47"/>
        <v>4.2500000000000009</v>
      </c>
      <c r="G111" s="292">
        <f t="shared" si="47"/>
        <v>4.5000000000000009</v>
      </c>
      <c r="H111" s="292">
        <f t="shared" si="47"/>
        <v>4.7500000000000018</v>
      </c>
    </row>
    <row r="112" spans="1:8">
      <c r="A112" s="10">
        <f t="shared" si="40"/>
        <v>0</v>
      </c>
      <c r="B112" s="10">
        <f>D36*$B$90</f>
        <v>0</v>
      </c>
      <c r="C112" s="292">
        <f t="shared" si="43"/>
        <v>0</v>
      </c>
      <c r="D112" s="292">
        <f t="shared" si="47"/>
        <v>0</v>
      </c>
      <c r="E112" s="292">
        <f t="shared" si="47"/>
        <v>0</v>
      </c>
      <c r="F112" s="292">
        <f t="shared" si="47"/>
        <v>0</v>
      </c>
      <c r="G112" s="292">
        <f t="shared" si="47"/>
        <v>0</v>
      </c>
      <c r="H112" s="292">
        <f t="shared" si="47"/>
        <v>0</v>
      </c>
    </row>
    <row r="113" spans="1:9">
      <c r="A113" s="10"/>
      <c r="B113" s="10">
        <f>D37*$B$90</f>
        <v>0</v>
      </c>
      <c r="C113" s="292">
        <f t="shared" si="43"/>
        <v>0</v>
      </c>
      <c r="D113" s="292">
        <f t="shared" si="47"/>
        <v>0</v>
      </c>
      <c r="E113" s="292">
        <f t="shared" si="47"/>
        <v>0</v>
      </c>
      <c r="F113" s="292">
        <f t="shared" si="47"/>
        <v>0</v>
      </c>
      <c r="G113" s="292">
        <f t="shared" si="47"/>
        <v>0</v>
      </c>
      <c r="H113" s="292">
        <f t="shared" si="47"/>
        <v>0</v>
      </c>
    </row>
    <row r="115" spans="1:9">
      <c r="C115" s="4"/>
      <c r="D115" s="6"/>
      <c r="E115" s="6"/>
      <c r="F115" s="6"/>
      <c r="G115" s="6"/>
      <c r="H115" s="6"/>
      <c r="I115" s="6"/>
    </row>
    <row r="116" spans="1:9">
      <c r="A116" t="s">
        <v>543</v>
      </c>
      <c r="C116" s="293"/>
      <c r="D116" s="293"/>
      <c r="E116" s="293"/>
      <c r="F116" s="293"/>
      <c r="G116" s="293"/>
      <c r="H116" s="293"/>
      <c r="I116" s="293"/>
    </row>
    <row r="117" spans="1:9">
      <c r="A117">
        <v>1</v>
      </c>
      <c r="B117" t="s">
        <v>586</v>
      </c>
    </row>
    <row r="118" spans="1:9">
      <c r="A118">
        <v>2</v>
      </c>
      <c r="B118" t="s">
        <v>587</v>
      </c>
    </row>
    <row r="119" spans="1:9">
      <c r="A119">
        <v>3</v>
      </c>
      <c r="B119" t="s">
        <v>546</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paperSize="9" scale="65" orientation="landscape" r:id="rId1"/>
  <rowBreaks count="1" manualBreakCount="1">
    <brk id="38"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0" zoomScaleSheetLayoutView="80" workbookViewId="0">
      <selection sqref="A1:H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2" t="s">
        <v>502</v>
      </c>
      <c r="B1" s="412"/>
      <c r="C1" s="412"/>
      <c r="D1" s="412"/>
      <c r="E1" s="412"/>
      <c r="F1" s="412"/>
      <c r="G1" s="412"/>
      <c r="H1" s="412"/>
    </row>
    <row r="2" spans="1:26">
      <c r="B2" s="4"/>
    </row>
    <row r="3" spans="1:26" ht="18.75">
      <c r="A3" s="463" t="s">
        <v>566</v>
      </c>
      <c r="B3" s="463"/>
    </row>
    <row r="4" spans="1:26">
      <c r="A4" s="277" t="s">
        <v>0</v>
      </c>
      <c r="B4" s="295" t="s">
        <v>390</v>
      </c>
      <c r="C4" s="296"/>
      <c r="D4" s="296"/>
      <c r="E4" s="296"/>
      <c r="F4" s="296"/>
      <c r="G4" s="296"/>
      <c r="H4" s="296"/>
    </row>
    <row r="5" spans="1:26">
      <c r="A5" s="10" t="s">
        <v>495</v>
      </c>
      <c r="B5" s="273">
        <v>0</v>
      </c>
      <c r="C5" s="297"/>
      <c r="D5" s="298"/>
      <c r="E5" s="298"/>
      <c r="F5" s="298"/>
      <c r="G5" s="298"/>
      <c r="H5" s="298"/>
    </row>
    <row r="6" spans="1:26">
      <c r="A6" s="10" t="s">
        <v>496</v>
      </c>
      <c r="B6" s="273">
        <v>0</v>
      </c>
      <c r="C6" s="297"/>
      <c r="D6" s="298"/>
      <c r="E6" s="298"/>
      <c r="F6" s="298"/>
      <c r="G6" s="298"/>
      <c r="H6" s="298"/>
    </row>
    <row r="7" spans="1:26">
      <c r="A7" s="2" t="s">
        <v>1</v>
      </c>
      <c r="B7" s="321">
        <f>B5+B6</f>
        <v>0</v>
      </c>
      <c r="C7" s="299"/>
      <c r="D7" s="300"/>
      <c r="E7" s="300"/>
      <c r="F7" s="300"/>
      <c r="G7" s="300"/>
      <c r="H7" s="300"/>
    </row>
    <row r="8" spans="1:26">
      <c r="A8" s="2" t="s">
        <v>497</v>
      </c>
      <c r="B8" s="320">
        <v>0</v>
      </c>
      <c r="C8" s="299"/>
      <c r="D8" s="299"/>
      <c r="E8" s="299"/>
      <c r="F8" s="299"/>
      <c r="G8" s="299"/>
      <c r="H8" s="299"/>
    </row>
    <row r="9" spans="1:26">
      <c r="A9" s="2" t="s">
        <v>498</v>
      </c>
      <c r="B9" s="321">
        <f>B7*B8</f>
        <v>0</v>
      </c>
      <c r="C9" s="300"/>
      <c r="D9" s="300"/>
      <c r="E9" s="300"/>
      <c r="F9" s="300"/>
      <c r="G9" s="300"/>
      <c r="H9" s="300"/>
    </row>
    <row r="10" spans="1:26">
      <c r="J10" t="s">
        <v>460</v>
      </c>
      <c r="O10" t="s">
        <v>456</v>
      </c>
      <c r="U10" t="s">
        <v>457</v>
      </c>
      <c r="Y10" t="s">
        <v>458</v>
      </c>
      <c r="Z10" t="s">
        <v>459</v>
      </c>
    </row>
    <row r="11" spans="1:26" ht="18.75">
      <c r="A11" s="412" t="s">
        <v>567</v>
      </c>
      <c r="B11" s="412"/>
      <c r="C11" s="412"/>
      <c r="D11" s="412"/>
      <c r="E11" s="412"/>
      <c r="F11" s="412"/>
      <c r="G11" s="412"/>
      <c r="H11" s="412"/>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394</v>
      </c>
      <c r="B13" s="277" t="s">
        <v>395</v>
      </c>
      <c r="C13" s="278" t="s">
        <v>453</v>
      </c>
      <c r="D13" s="278" t="s">
        <v>461</v>
      </c>
      <c r="E13" s="278" t="s">
        <v>462</v>
      </c>
      <c r="F13" s="278" t="s">
        <v>396</v>
      </c>
      <c r="G13" s="278" t="s">
        <v>634</v>
      </c>
      <c r="H13" s="278" t="s">
        <v>397</v>
      </c>
      <c r="O13" s="290" t="s">
        <v>2</v>
      </c>
      <c r="P13" s="290" t="s">
        <v>3</v>
      </c>
      <c r="Q13" s="290" t="s">
        <v>4</v>
      </c>
      <c r="R13" s="290" t="s">
        <v>5</v>
      </c>
      <c r="S13" s="290" t="s">
        <v>6</v>
      </c>
      <c r="T13" s="290" t="s">
        <v>2</v>
      </c>
      <c r="U13" s="290" t="s">
        <v>3</v>
      </c>
      <c r="V13" s="290" t="s">
        <v>4</v>
      </c>
      <c r="W13" s="290" t="s">
        <v>5</v>
      </c>
      <c r="X13" s="290" t="s">
        <v>6</v>
      </c>
    </row>
    <row r="14" spans="1:26">
      <c r="A14" s="467" t="s">
        <v>398</v>
      </c>
      <c r="B14" s="273" t="s">
        <v>485</v>
      </c>
      <c r="C14" s="288">
        <v>0.25</v>
      </c>
      <c r="D14" s="10">
        <f t="shared" ref="D14:D40" si="3">$B$9*C14</f>
        <v>0</v>
      </c>
      <c r="E14" s="274">
        <v>15</v>
      </c>
      <c r="F14" s="10">
        <f>D14*E14</f>
        <v>0</v>
      </c>
      <c r="G14" s="289">
        <v>0.1</v>
      </c>
      <c r="H14" s="10">
        <f>(F14-F14*G14)</f>
        <v>0</v>
      </c>
      <c r="J14">
        <f>$D$14*J12</f>
        <v>0</v>
      </c>
      <c r="K14">
        <f>$D$14*K12</f>
        <v>0</v>
      </c>
      <c r="L14">
        <f>$D$14*L12</f>
        <v>0</v>
      </c>
      <c r="M14">
        <f>$D$14*M12</f>
        <v>0</v>
      </c>
      <c r="N14">
        <f>$D$14*N12</f>
        <v>0</v>
      </c>
    </row>
    <row r="15" spans="1:26">
      <c r="A15" s="468"/>
      <c r="B15" s="273" t="s">
        <v>486</v>
      </c>
      <c r="C15" s="288">
        <v>0.25</v>
      </c>
      <c r="D15" s="10">
        <f t="shared" si="3"/>
        <v>0</v>
      </c>
      <c r="E15" s="274">
        <v>26</v>
      </c>
      <c r="F15" s="10">
        <f t="shared" ref="F15:F40" si="4">D15*E15</f>
        <v>0</v>
      </c>
      <c r="G15" s="289">
        <v>0.05</v>
      </c>
      <c r="H15" s="10">
        <f>(F15-F15*G15)</f>
        <v>0</v>
      </c>
    </row>
    <row r="16" spans="1:26">
      <c r="A16" s="468"/>
      <c r="B16" s="273" t="s">
        <v>487</v>
      </c>
      <c r="C16" s="288">
        <v>0</v>
      </c>
      <c r="D16" s="10">
        <f t="shared" si="3"/>
        <v>0</v>
      </c>
      <c r="E16" s="274">
        <v>0</v>
      </c>
      <c r="F16" s="10">
        <f t="shared" si="4"/>
        <v>0</v>
      </c>
      <c r="G16" s="289">
        <v>0</v>
      </c>
      <c r="H16" s="10">
        <f t="shared" ref="H16:H40" si="5">(F16-F16*G16)</f>
        <v>0</v>
      </c>
    </row>
    <row r="17" spans="1:8">
      <c r="A17" s="468"/>
      <c r="B17" s="273" t="s">
        <v>488</v>
      </c>
      <c r="C17" s="288">
        <v>0.25</v>
      </c>
      <c r="D17" s="10">
        <f t="shared" si="3"/>
        <v>0</v>
      </c>
      <c r="E17" s="274">
        <v>7.5</v>
      </c>
      <c r="F17" s="10">
        <f t="shared" si="4"/>
        <v>0</v>
      </c>
      <c r="G17" s="289">
        <v>0.02</v>
      </c>
      <c r="H17" s="10">
        <f t="shared" si="5"/>
        <v>0</v>
      </c>
    </row>
    <row r="18" spans="1:8">
      <c r="A18" s="468"/>
      <c r="B18" s="273" t="s">
        <v>490</v>
      </c>
      <c r="C18" s="288">
        <v>0.25</v>
      </c>
      <c r="D18" s="10">
        <f t="shared" si="3"/>
        <v>0</v>
      </c>
      <c r="E18" s="274">
        <v>2</v>
      </c>
      <c r="F18" s="10">
        <f t="shared" si="4"/>
        <v>0</v>
      </c>
      <c r="G18" s="289">
        <v>0</v>
      </c>
      <c r="H18" s="10">
        <f t="shared" si="5"/>
        <v>0</v>
      </c>
    </row>
    <row r="19" spans="1:8">
      <c r="A19" s="468"/>
      <c r="B19" s="273"/>
      <c r="C19" s="288">
        <v>0</v>
      </c>
      <c r="D19" s="10">
        <f t="shared" si="3"/>
        <v>0</v>
      </c>
      <c r="E19" s="274">
        <v>0</v>
      </c>
      <c r="F19" s="10">
        <f t="shared" si="4"/>
        <v>0</v>
      </c>
      <c r="G19" s="289">
        <v>0.1</v>
      </c>
      <c r="H19" s="10">
        <f t="shared" si="5"/>
        <v>0</v>
      </c>
    </row>
    <row r="20" spans="1:8">
      <c r="A20" s="468"/>
      <c r="B20" s="273"/>
      <c r="C20" s="288">
        <v>0</v>
      </c>
      <c r="D20" s="10">
        <f t="shared" si="3"/>
        <v>0</v>
      </c>
      <c r="E20" s="274">
        <v>0</v>
      </c>
      <c r="F20" s="10">
        <f t="shared" si="4"/>
        <v>0</v>
      </c>
      <c r="G20" s="289">
        <v>0.02</v>
      </c>
      <c r="H20" s="10">
        <f t="shared" si="5"/>
        <v>0</v>
      </c>
    </row>
    <row r="21" spans="1:8">
      <c r="A21" s="468"/>
      <c r="B21" s="273"/>
      <c r="C21" s="288">
        <v>0</v>
      </c>
      <c r="D21" s="10">
        <f t="shared" si="3"/>
        <v>0</v>
      </c>
      <c r="E21" s="274"/>
      <c r="F21" s="10">
        <f t="shared" si="4"/>
        <v>0</v>
      </c>
      <c r="G21" s="289">
        <v>0</v>
      </c>
      <c r="H21" s="10">
        <f t="shared" si="5"/>
        <v>0</v>
      </c>
    </row>
    <row r="22" spans="1:8">
      <c r="A22" s="469"/>
      <c r="B22" s="273"/>
      <c r="C22" s="288">
        <v>0</v>
      </c>
      <c r="D22" s="10">
        <f t="shared" si="3"/>
        <v>0</v>
      </c>
      <c r="E22" s="274"/>
      <c r="F22" s="10">
        <f t="shared" si="4"/>
        <v>0</v>
      </c>
      <c r="G22" s="289">
        <v>0</v>
      </c>
      <c r="H22" s="10">
        <f t="shared" si="5"/>
        <v>0</v>
      </c>
    </row>
    <row r="23" spans="1:8">
      <c r="A23" s="319" t="s">
        <v>503</v>
      </c>
      <c r="B23" s="313"/>
      <c r="C23" s="314">
        <f>B9*B23</f>
        <v>0</v>
      </c>
      <c r="D23" s="10"/>
      <c r="E23" s="274"/>
      <c r="F23" s="10"/>
      <c r="G23" s="289"/>
      <c r="H23" s="10"/>
    </row>
    <row r="24" spans="1:8">
      <c r="A24" s="467" t="s">
        <v>400</v>
      </c>
      <c r="B24" s="273" t="s">
        <v>485</v>
      </c>
      <c r="C24" s="288">
        <v>0</v>
      </c>
      <c r="D24" s="10">
        <f>C$23*C24</f>
        <v>0</v>
      </c>
      <c r="E24" s="274">
        <v>1</v>
      </c>
      <c r="F24" s="10">
        <f t="shared" si="4"/>
        <v>0</v>
      </c>
      <c r="G24" s="289">
        <v>0.1</v>
      </c>
      <c r="H24" s="10">
        <f t="shared" si="5"/>
        <v>0</v>
      </c>
    </row>
    <row r="25" spans="1:8">
      <c r="A25" s="468"/>
      <c r="B25" s="273" t="s">
        <v>486</v>
      </c>
      <c r="C25" s="288">
        <v>0</v>
      </c>
      <c r="D25" s="10">
        <f>C$23*C25</f>
        <v>0</v>
      </c>
      <c r="E25" s="274">
        <v>1</v>
      </c>
      <c r="F25" s="10">
        <f t="shared" si="4"/>
        <v>0</v>
      </c>
      <c r="G25" s="289">
        <v>0.1</v>
      </c>
      <c r="H25" s="10">
        <f t="shared" si="5"/>
        <v>0</v>
      </c>
    </row>
    <row r="26" spans="1:8">
      <c r="A26" s="468"/>
      <c r="B26" s="273" t="s">
        <v>487</v>
      </c>
      <c r="C26" s="288">
        <v>0</v>
      </c>
      <c r="D26" s="10">
        <f>C$23*C26</f>
        <v>0</v>
      </c>
      <c r="E26" s="274">
        <v>1</v>
      </c>
      <c r="F26" s="10">
        <f t="shared" si="4"/>
        <v>0</v>
      </c>
      <c r="G26" s="289">
        <v>0.05</v>
      </c>
      <c r="H26" s="10">
        <f t="shared" si="5"/>
        <v>0</v>
      </c>
    </row>
    <row r="27" spans="1:8">
      <c r="A27" s="468"/>
      <c r="B27" s="273" t="s">
        <v>488</v>
      </c>
      <c r="C27" s="288">
        <v>0</v>
      </c>
      <c r="D27" s="10">
        <f t="shared" ref="D27:D31" si="6">C$23*C27</f>
        <v>0</v>
      </c>
      <c r="E27" s="274">
        <v>2</v>
      </c>
      <c r="F27" s="10">
        <f t="shared" si="4"/>
        <v>0</v>
      </c>
      <c r="G27" s="289">
        <v>0</v>
      </c>
      <c r="H27" s="10">
        <f t="shared" si="5"/>
        <v>0</v>
      </c>
    </row>
    <row r="28" spans="1:8">
      <c r="A28" s="468"/>
      <c r="B28" s="273" t="s">
        <v>489</v>
      </c>
      <c r="C28" s="288">
        <v>0</v>
      </c>
      <c r="D28" s="10">
        <f t="shared" si="6"/>
        <v>0</v>
      </c>
      <c r="E28" s="274"/>
      <c r="F28" s="10">
        <f t="shared" si="4"/>
        <v>0</v>
      </c>
      <c r="G28" s="289">
        <v>0</v>
      </c>
      <c r="H28" s="10">
        <f t="shared" si="5"/>
        <v>0</v>
      </c>
    </row>
    <row r="29" spans="1:8">
      <c r="A29" s="468"/>
      <c r="B29" s="273"/>
      <c r="C29" s="288">
        <v>0</v>
      </c>
      <c r="D29" s="10">
        <f t="shared" si="6"/>
        <v>0</v>
      </c>
      <c r="E29" s="274"/>
      <c r="F29" s="10">
        <f t="shared" si="4"/>
        <v>0</v>
      </c>
      <c r="G29" s="289">
        <v>0</v>
      </c>
      <c r="H29" s="10">
        <f t="shared" si="5"/>
        <v>0</v>
      </c>
    </row>
    <row r="30" spans="1:8">
      <c r="A30" s="468"/>
      <c r="B30" s="273"/>
      <c r="C30" s="288">
        <v>0</v>
      </c>
      <c r="D30" s="10">
        <f t="shared" si="6"/>
        <v>0</v>
      </c>
      <c r="E30" s="274"/>
      <c r="F30" s="10">
        <f t="shared" si="4"/>
        <v>0</v>
      </c>
      <c r="G30" s="289">
        <v>0</v>
      </c>
      <c r="H30" s="10">
        <f t="shared" si="5"/>
        <v>0</v>
      </c>
    </row>
    <row r="31" spans="1:8">
      <c r="A31" s="469"/>
      <c r="B31" s="273"/>
      <c r="C31" s="288">
        <v>0</v>
      </c>
      <c r="D31" s="10">
        <f t="shared" si="6"/>
        <v>0</v>
      </c>
      <c r="E31" s="274"/>
      <c r="F31" s="10">
        <f t="shared" si="4"/>
        <v>0</v>
      </c>
      <c r="G31" s="289">
        <v>0</v>
      </c>
      <c r="H31" s="10">
        <f t="shared" si="5"/>
        <v>0</v>
      </c>
    </row>
    <row r="32" spans="1:8">
      <c r="A32" s="319" t="s">
        <v>504</v>
      </c>
      <c r="B32" s="313"/>
      <c r="C32" s="273">
        <f>B9*B32</f>
        <v>0</v>
      </c>
      <c r="D32" s="10"/>
      <c r="E32" s="274"/>
      <c r="F32" s="10"/>
      <c r="G32" s="289"/>
      <c r="H32" s="10"/>
    </row>
    <row r="33" spans="1:8">
      <c r="A33" s="316" t="s">
        <v>467</v>
      </c>
      <c r="B33" s="273"/>
      <c r="C33" s="288">
        <v>0</v>
      </c>
      <c r="D33" s="10">
        <f>C$32*C33</f>
        <v>0</v>
      </c>
      <c r="E33" s="274"/>
      <c r="F33" s="10">
        <f t="shared" si="4"/>
        <v>0</v>
      </c>
      <c r="G33" s="289">
        <v>0</v>
      </c>
      <c r="H33" s="10">
        <f t="shared" si="5"/>
        <v>0</v>
      </c>
    </row>
    <row r="34" spans="1:8">
      <c r="A34" s="317"/>
      <c r="B34" s="273"/>
      <c r="C34" s="288">
        <v>0</v>
      </c>
      <c r="D34" s="10">
        <f>C$32*C34</f>
        <v>0</v>
      </c>
      <c r="E34" s="274"/>
      <c r="F34" s="10">
        <f t="shared" si="4"/>
        <v>0</v>
      </c>
      <c r="G34" s="289">
        <v>0</v>
      </c>
      <c r="H34" s="10">
        <f t="shared" si="5"/>
        <v>0</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83" t="s">
        <v>505</v>
      </c>
      <c r="B37" s="273" t="s">
        <v>491</v>
      </c>
      <c r="C37" s="288">
        <v>0</v>
      </c>
      <c r="D37" s="10">
        <f t="shared" si="3"/>
        <v>0</v>
      </c>
      <c r="E37" s="274">
        <v>6</v>
      </c>
      <c r="F37" s="10">
        <f t="shared" si="4"/>
        <v>0</v>
      </c>
      <c r="G37" s="289">
        <v>0.05</v>
      </c>
      <c r="H37" s="10">
        <f t="shared" si="5"/>
        <v>0</v>
      </c>
    </row>
    <row r="38" spans="1:8">
      <c r="A38" s="483"/>
      <c r="B38" s="273" t="s">
        <v>492</v>
      </c>
      <c r="C38" s="288">
        <v>0</v>
      </c>
      <c r="D38" s="10">
        <f t="shared" si="3"/>
        <v>0</v>
      </c>
      <c r="E38" s="274"/>
      <c r="F38" s="10">
        <f t="shared" si="4"/>
        <v>0</v>
      </c>
      <c r="G38" s="289">
        <v>0</v>
      </c>
      <c r="H38" s="10">
        <f t="shared" si="5"/>
        <v>0</v>
      </c>
    </row>
    <row r="39" spans="1:8">
      <c r="A39" s="483"/>
      <c r="B39" s="273" t="s">
        <v>493</v>
      </c>
      <c r="C39" s="288">
        <v>0</v>
      </c>
      <c r="D39" s="10">
        <f t="shared" si="3"/>
        <v>0</v>
      </c>
      <c r="E39" s="274"/>
      <c r="F39" s="10">
        <f t="shared" si="4"/>
        <v>0</v>
      </c>
      <c r="G39" s="289">
        <v>0</v>
      </c>
      <c r="H39" s="10">
        <f t="shared" si="5"/>
        <v>0</v>
      </c>
    </row>
    <row r="40" spans="1:8">
      <c r="A40" s="483"/>
      <c r="B40" s="273" t="s">
        <v>494</v>
      </c>
      <c r="C40" s="288">
        <v>0</v>
      </c>
      <c r="D40" s="10">
        <f t="shared" si="3"/>
        <v>0</v>
      </c>
      <c r="E40" s="274"/>
      <c r="F40" s="10">
        <f t="shared" si="4"/>
        <v>0</v>
      </c>
      <c r="G40" s="289">
        <v>0</v>
      </c>
      <c r="H40" s="10">
        <f t="shared" si="5"/>
        <v>0</v>
      </c>
    </row>
    <row r="41" spans="1:8">
      <c r="A41" s="466" t="s">
        <v>403</v>
      </c>
      <c r="B41" s="466"/>
      <c r="C41" s="466"/>
      <c r="D41" s="466"/>
      <c r="E41" s="466"/>
      <c r="F41" s="466"/>
      <c r="G41" s="466"/>
      <c r="H41" s="466"/>
    </row>
    <row r="43" spans="1:8" ht="18.75">
      <c r="A43" s="470" t="s">
        <v>568</v>
      </c>
      <c r="B43" s="471"/>
      <c r="C43" s="471"/>
      <c r="D43" s="471"/>
      <c r="E43" s="471"/>
      <c r="F43" s="471"/>
      <c r="G43" s="471"/>
      <c r="H43" s="472"/>
    </row>
    <row r="44" spans="1:8">
      <c r="A44" s="473" t="s">
        <v>0</v>
      </c>
      <c r="B44" s="304">
        <v>0.35</v>
      </c>
      <c r="C44" s="304">
        <f>B44+0.05</f>
        <v>0.39999999999999997</v>
      </c>
      <c r="D44" s="304">
        <f t="shared" ref="D44:G44" si="7">C44+0.05</f>
        <v>0.44999999999999996</v>
      </c>
      <c r="E44" s="304">
        <f t="shared" si="7"/>
        <v>0.49999999999999994</v>
      </c>
      <c r="F44" s="304">
        <f t="shared" si="7"/>
        <v>0.54999999999999993</v>
      </c>
      <c r="G44" s="304">
        <f t="shared" si="7"/>
        <v>0.6</v>
      </c>
      <c r="H44" s="304">
        <f>G44+0.05</f>
        <v>0.65</v>
      </c>
    </row>
    <row r="45" spans="1:8">
      <c r="A45" s="474"/>
      <c r="B45" s="295" t="s">
        <v>2</v>
      </c>
      <c r="C45" s="295" t="s">
        <v>3</v>
      </c>
      <c r="D45" s="295" t="s">
        <v>4</v>
      </c>
      <c r="E45" s="295" t="s">
        <v>5</v>
      </c>
      <c r="F45" s="295" t="s">
        <v>6</v>
      </c>
      <c r="G45" s="295" t="s">
        <v>167</v>
      </c>
      <c r="H45" s="295" t="s">
        <v>166</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75" t="s">
        <v>569</v>
      </c>
      <c r="B71" s="476"/>
      <c r="C71" s="476"/>
      <c r="D71" s="476"/>
      <c r="E71" s="476"/>
      <c r="F71" s="476"/>
      <c r="G71" s="476"/>
      <c r="H71" s="477"/>
    </row>
    <row r="72" spans="1:8">
      <c r="A72" s="478" t="s">
        <v>0</v>
      </c>
      <c r="B72" s="305">
        <v>0.05</v>
      </c>
      <c r="C72" s="305">
        <f>B72+0.05</f>
        <v>0.1</v>
      </c>
      <c r="D72" s="305">
        <f t="shared" ref="D72:G72" si="26">C72+0.05</f>
        <v>0.15000000000000002</v>
      </c>
      <c r="E72" s="305">
        <f t="shared" si="26"/>
        <v>0.2</v>
      </c>
      <c r="F72" s="305">
        <f t="shared" si="26"/>
        <v>0.25</v>
      </c>
      <c r="G72" s="305">
        <f t="shared" si="26"/>
        <v>0.3</v>
      </c>
      <c r="H72" s="305">
        <f>G72+0.05</f>
        <v>0.35</v>
      </c>
    </row>
    <row r="73" spans="1:8">
      <c r="A73" s="479"/>
      <c r="B73" s="295" t="s">
        <v>2</v>
      </c>
      <c r="C73" s="295" t="s">
        <v>3</v>
      </c>
      <c r="D73" s="295" t="s">
        <v>4</v>
      </c>
      <c r="E73" s="295" t="s">
        <v>5</v>
      </c>
      <c r="F73" s="295" t="s">
        <v>6</v>
      </c>
      <c r="G73" s="295" t="s">
        <v>167</v>
      </c>
      <c r="H73" s="295" t="s">
        <v>166</v>
      </c>
    </row>
    <row r="74" spans="1:8" s="13" customFormat="1">
      <c r="A74" s="10" t="str">
        <f t="shared" ref="A74:A98" si="27">A46</f>
        <v>Onion</v>
      </c>
      <c r="B74" s="10">
        <f t="shared" ref="B74" si="28">H14*$B$72</f>
        <v>0</v>
      </c>
      <c r="C74" s="10">
        <f t="shared" ref="C74:H74" si="29">I14*$B$72</f>
        <v>0</v>
      </c>
      <c r="D74" s="10">
        <f t="shared" si="29"/>
        <v>0</v>
      </c>
      <c r="E74" s="10">
        <f t="shared" si="29"/>
        <v>0</v>
      </c>
      <c r="F74" s="10">
        <f t="shared" si="29"/>
        <v>0</v>
      </c>
      <c r="G74" s="10">
        <f t="shared" si="29"/>
        <v>0</v>
      </c>
      <c r="H74" s="10">
        <f t="shared" si="29"/>
        <v>0</v>
      </c>
    </row>
    <row r="75" spans="1:8">
      <c r="A75" s="10" t="str">
        <f t="shared" si="27"/>
        <v>Tomato</v>
      </c>
      <c r="B75" s="10">
        <f>H15*$B$72*0</f>
        <v>0</v>
      </c>
      <c r="C75" s="10">
        <f>(B75/B72)*C72</f>
        <v>0</v>
      </c>
      <c r="D75" s="10">
        <f t="shared" ref="D75:G75" si="30">(C75/C72)*D72</f>
        <v>0</v>
      </c>
      <c r="E75" s="10">
        <f t="shared" si="30"/>
        <v>0</v>
      </c>
      <c r="F75" s="10">
        <f t="shared" si="30"/>
        <v>0</v>
      </c>
      <c r="G75" s="10">
        <f t="shared" si="30"/>
        <v>0</v>
      </c>
      <c r="H75" s="10">
        <f>(G75/G72)*H72</f>
        <v>0</v>
      </c>
    </row>
    <row r="76" spans="1:8">
      <c r="A76" s="10" t="str">
        <f t="shared" si="27"/>
        <v>Okra</v>
      </c>
      <c r="B76" s="10">
        <f t="shared" ref="B76:B82" si="31">H16*$B$72</f>
        <v>0</v>
      </c>
      <c r="C76" s="10">
        <f>(B76/B72)*C72</f>
        <v>0</v>
      </c>
      <c r="D76" s="10">
        <f>(C76/C72)*D72</f>
        <v>0</v>
      </c>
      <c r="E76" s="10">
        <f t="shared" ref="E76:G76" si="32">(D76/D72)*E72</f>
        <v>0</v>
      </c>
      <c r="F76" s="10">
        <f t="shared" si="32"/>
        <v>0</v>
      </c>
      <c r="G76" s="10">
        <f t="shared" si="32"/>
        <v>0</v>
      </c>
      <c r="H76" s="10">
        <f>(G76/G72)*H72</f>
        <v>0</v>
      </c>
    </row>
    <row r="77" spans="1:8">
      <c r="A77" s="10" t="str">
        <f t="shared" si="27"/>
        <v>Chilli</v>
      </c>
      <c r="B77" s="10">
        <f>H17*$B$72*0</f>
        <v>0</v>
      </c>
      <c r="C77" s="10">
        <f t="shared" ref="C77:H95" si="33">(B77/B$72)*C$72</f>
        <v>0</v>
      </c>
      <c r="D77" s="10">
        <f t="shared" si="33"/>
        <v>0</v>
      </c>
      <c r="E77" s="10">
        <f t="shared" si="33"/>
        <v>0</v>
      </c>
      <c r="F77" s="10">
        <f t="shared" si="33"/>
        <v>0</v>
      </c>
      <c r="G77" s="10">
        <f t="shared" si="33"/>
        <v>0</v>
      </c>
      <c r="H77" s="10">
        <f t="shared" si="33"/>
        <v>0</v>
      </c>
    </row>
    <row r="78" spans="1:8">
      <c r="A78" s="10" t="str">
        <f t="shared" si="27"/>
        <v>Potato</v>
      </c>
      <c r="B78" s="10">
        <f t="shared" si="31"/>
        <v>0</v>
      </c>
      <c r="C78" s="10">
        <f t="shared" si="33"/>
        <v>0</v>
      </c>
      <c r="D78" s="10">
        <f t="shared" si="33"/>
        <v>0</v>
      </c>
      <c r="E78" s="10">
        <f t="shared" si="33"/>
        <v>0</v>
      </c>
      <c r="F78" s="10">
        <f t="shared" si="33"/>
        <v>0</v>
      </c>
      <c r="G78" s="10">
        <f t="shared" si="33"/>
        <v>0</v>
      </c>
      <c r="H78" s="10">
        <f t="shared" si="33"/>
        <v>0</v>
      </c>
    </row>
    <row r="79" spans="1:8">
      <c r="A79" s="10">
        <f t="shared" si="27"/>
        <v>0</v>
      </c>
      <c r="B79" s="10">
        <f>H19*$B$72*0</f>
        <v>0</v>
      </c>
      <c r="C79" s="10">
        <f t="shared" si="33"/>
        <v>0</v>
      </c>
      <c r="D79" s="10">
        <f t="shared" si="33"/>
        <v>0</v>
      </c>
      <c r="E79" s="10">
        <f t="shared" si="33"/>
        <v>0</v>
      </c>
      <c r="F79" s="10">
        <f t="shared" si="33"/>
        <v>0</v>
      </c>
      <c r="G79" s="10">
        <f t="shared" si="33"/>
        <v>0</v>
      </c>
      <c r="H79" s="10">
        <f t="shared" si="33"/>
        <v>0</v>
      </c>
    </row>
    <row r="80" spans="1:8">
      <c r="A80" s="10">
        <f t="shared" si="27"/>
        <v>0</v>
      </c>
      <c r="B80" s="10">
        <f>H20*$B$72*0</f>
        <v>0</v>
      </c>
      <c r="C80" s="10">
        <f t="shared" si="33"/>
        <v>0</v>
      </c>
      <c r="D80" s="10">
        <f t="shared" si="33"/>
        <v>0</v>
      </c>
      <c r="E80" s="10">
        <f t="shared" si="33"/>
        <v>0</v>
      </c>
      <c r="F80" s="10">
        <f t="shared" si="33"/>
        <v>0</v>
      </c>
      <c r="G80" s="10">
        <f t="shared" si="33"/>
        <v>0</v>
      </c>
      <c r="H80" s="10">
        <f t="shared" si="33"/>
        <v>0</v>
      </c>
    </row>
    <row r="81" spans="1:8">
      <c r="A81" s="10">
        <f t="shared" si="27"/>
        <v>0</v>
      </c>
      <c r="B81" s="10">
        <f t="shared" si="31"/>
        <v>0</v>
      </c>
      <c r="C81" s="10">
        <f t="shared" si="33"/>
        <v>0</v>
      </c>
      <c r="D81" s="10">
        <f t="shared" si="33"/>
        <v>0</v>
      </c>
      <c r="E81" s="10">
        <f t="shared" si="33"/>
        <v>0</v>
      </c>
      <c r="F81" s="10">
        <f t="shared" si="33"/>
        <v>0</v>
      </c>
      <c r="G81" s="10">
        <f t="shared" si="33"/>
        <v>0</v>
      </c>
      <c r="H81" s="10">
        <f t="shared" si="33"/>
        <v>0</v>
      </c>
    </row>
    <row r="82" spans="1:8">
      <c r="A82" s="10">
        <f t="shared" si="27"/>
        <v>0</v>
      </c>
      <c r="B82" s="10">
        <f t="shared" si="31"/>
        <v>0</v>
      </c>
      <c r="C82" s="10">
        <f t="shared" si="33"/>
        <v>0</v>
      </c>
      <c r="D82" s="10">
        <f t="shared" si="33"/>
        <v>0</v>
      </c>
      <c r="E82" s="10">
        <f t="shared" si="33"/>
        <v>0</v>
      </c>
      <c r="F82" s="10">
        <f t="shared" si="33"/>
        <v>0</v>
      </c>
      <c r="G82" s="10">
        <f t="shared" si="33"/>
        <v>0</v>
      </c>
      <c r="H82" s="10">
        <f t="shared" si="33"/>
        <v>0</v>
      </c>
    </row>
    <row r="83" spans="1:8">
      <c r="A83" s="10" t="str">
        <f t="shared" si="27"/>
        <v>Onion</v>
      </c>
      <c r="B83" s="10">
        <f t="shared" ref="B83:B90" si="34">H24*$B$72</f>
        <v>0</v>
      </c>
      <c r="C83" s="10">
        <f t="shared" si="33"/>
        <v>0</v>
      </c>
      <c r="D83" s="10">
        <f t="shared" si="33"/>
        <v>0</v>
      </c>
      <c r="E83" s="10">
        <f t="shared" si="33"/>
        <v>0</v>
      </c>
      <c r="F83" s="10">
        <f t="shared" si="33"/>
        <v>0</v>
      </c>
      <c r="G83" s="10">
        <f t="shared" si="33"/>
        <v>0</v>
      </c>
      <c r="H83" s="10">
        <f t="shared" si="33"/>
        <v>0</v>
      </c>
    </row>
    <row r="84" spans="1:8">
      <c r="A84" s="10" t="str">
        <f t="shared" si="27"/>
        <v>Tomato</v>
      </c>
      <c r="B84" s="10">
        <f t="shared" si="34"/>
        <v>0</v>
      </c>
      <c r="C84" s="10">
        <f t="shared" si="33"/>
        <v>0</v>
      </c>
      <c r="D84" s="10">
        <f t="shared" si="33"/>
        <v>0</v>
      </c>
      <c r="E84" s="10">
        <f t="shared" si="33"/>
        <v>0</v>
      </c>
      <c r="F84" s="10">
        <f t="shared" si="33"/>
        <v>0</v>
      </c>
      <c r="G84" s="10">
        <f t="shared" si="33"/>
        <v>0</v>
      </c>
      <c r="H84" s="10">
        <f t="shared" si="33"/>
        <v>0</v>
      </c>
    </row>
    <row r="85" spans="1:8">
      <c r="A85" s="10" t="str">
        <f t="shared" si="27"/>
        <v>Okra</v>
      </c>
      <c r="B85" s="10">
        <f t="shared" si="34"/>
        <v>0</v>
      </c>
      <c r="C85" s="10">
        <f t="shared" si="33"/>
        <v>0</v>
      </c>
      <c r="D85" s="10">
        <f t="shared" si="33"/>
        <v>0</v>
      </c>
      <c r="E85" s="10">
        <f t="shared" si="33"/>
        <v>0</v>
      </c>
      <c r="F85" s="10">
        <f t="shared" si="33"/>
        <v>0</v>
      </c>
      <c r="G85" s="10">
        <f t="shared" si="33"/>
        <v>0</v>
      </c>
      <c r="H85" s="10">
        <f t="shared" si="33"/>
        <v>0</v>
      </c>
    </row>
    <row r="86" spans="1:8">
      <c r="A86" s="10" t="str">
        <f t="shared" si="27"/>
        <v>Chilli</v>
      </c>
      <c r="B86" s="10">
        <f t="shared" si="34"/>
        <v>0</v>
      </c>
      <c r="C86" s="10">
        <f t="shared" si="33"/>
        <v>0</v>
      </c>
      <c r="D86" s="10">
        <f t="shared" si="33"/>
        <v>0</v>
      </c>
      <c r="E86" s="10">
        <f t="shared" si="33"/>
        <v>0</v>
      </c>
      <c r="F86" s="10">
        <f t="shared" si="33"/>
        <v>0</v>
      </c>
      <c r="G86" s="10">
        <f t="shared" si="33"/>
        <v>0</v>
      </c>
      <c r="H86" s="10">
        <f t="shared" si="33"/>
        <v>0</v>
      </c>
    </row>
    <row r="87" spans="1:8">
      <c r="A87" s="10" t="str">
        <f t="shared" si="27"/>
        <v>Brinjal</v>
      </c>
      <c r="B87" s="10">
        <f t="shared" si="34"/>
        <v>0</v>
      </c>
      <c r="C87" s="10">
        <f t="shared" si="33"/>
        <v>0</v>
      </c>
      <c r="D87" s="10">
        <f t="shared" si="33"/>
        <v>0</v>
      </c>
      <c r="E87" s="10">
        <f t="shared" si="33"/>
        <v>0</v>
      </c>
      <c r="F87" s="10">
        <f t="shared" si="33"/>
        <v>0</v>
      </c>
      <c r="G87" s="10">
        <f t="shared" si="33"/>
        <v>0</v>
      </c>
      <c r="H87" s="10">
        <f t="shared" si="33"/>
        <v>0</v>
      </c>
    </row>
    <row r="88" spans="1:8">
      <c r="A88" s="10">
        <f t="shared" si="27"/>
        <v>0</v>
      </c>
      <c r="B88" s="10">
        <f t="shared" si="34"/>
        <v>0</v>
      </c>
      <c r="C88" s="10">
        <f t="shared" si="33"/>
        <v>0</v>
      </c>
      <c r="D88" s="10">
        <f t="shared" si="33"/>
        <v>0</v>
      </c>
      <c r="E88" s="10">
        <f t="shared" si="33"/>
        <v>0</v>
      </c>
      <c r="F88" s="10">
        <f t="shared" si="33"/>
        <v>0</v>
      </c>
      <c r="G88" s="10">
        <f t="shared" si="33"/>
        <v>0</v>
      </c>
      <c r="H88" s="10">
        <f t="shared" si="33"/>
        <v>0</v>
      </c>
    </row>
    <row r="89" spans="1:8">
      <c r="A89" s="10">
        <f t="shared" si="27"/>
        <v>0</v>
      </c>
      <c r="B89" s="10">
        <f t="shared" si="34"/>
        <v>0</v>
      </c>
      <c r="C89" s="10">
        <f t="shared" si="33"/>
        <v>0</v>
      </c>
      <c r="D89" s="10">
        <f t="shared" si="33"/>
        <v>0</v>
      </c>
      <c r="E89" s="10">
        <f t="shared" si="33"/>
        <v>0</v>
      </c>
      <c r="F89" s="10">
        <f t="shared" si="33"/>
        <v>0</v>
      </c>
      <c r="G89" s="10">
        <f t="shared" si="33"/>
        <v>0</v>
      </c>
      <c r="H89" s="10">
        <f t="shared" si="33"/>
        <v>0</v>
      </c>
    </row>
    <row r="90" spans="1:8">
      <c r="A90" s="10">
        <f t="shared" si="27"/>
        <v>0</v>
      </c>
      <c r="B90" s="10">
        <f t="shared" si="34"/>
        <v>0</v>
      </c>
      <c r="C90" s="10">
        <f t="shared" si="33"/>
        <v>0</v>
      </c>
      <c r="D90" s="10">
        <f t="shared" si="33"/>
        <v>0</v>
      </c>
      <c r="E90" s="10">
        <f t="shared" si="33"/>
        <v>0</v>
      </c>
      <c r="F90" s="10">
        <f t="shared" si="33"/>
        <v>0</v>
      </c>
      <c r="G90" s="10">
        <f t="shared" si="33"/>
        <v>0</v>
      </c>
      <c r="H90" s="10">
        <f t="shared" si="33"/>
        <v>0</v>
      </c>
    </row>
    <row r="91" spans="1:8">
      <c r="A91" s="10">
        <f t="shared" si="27"/>
        <v>0</v>
      </c>
      <c r="B91" s="10">
        <f t="shared" ref="B91:B98" si="35">H33*$B$72</f>
        <v>0</v>
      </c>
      <c r="C91" s="10">
        <f t="shared" si="33"/>
        <v>0</v>
      </c>
      <c r="D91" s="10">
        <f t="shared" ref="D91:D94" si="36">(C91/C$72)*D$72</f>
        <v>0</v>
      </c>
      <c r="E91" s="10">
        <f t="shared" ref="E91:E94" si="37">(D91/D$72)*E$72</f>
        <v>0</v>
      </c>
      <c r="F91" s="10">
        <f t="shared" ref="F91:F94" si="38">(E91/E$72)*F$72</f>
        <v>0</v>
      </c>
      <c r="G91" s="10">
        <f t="shared" ref="G91:G94" si="39">(F91/F$72)*G$72</f>
        <v>0</v>
      </c>
      <c r="H91" s="10">
        <f t="shared" si="33"/>
        <v>0</v>
      </c>
    </row>
    <row r="92" spans="1:8">
      <c r="A92" s="10">
        <f t="shared" si="27"/>
        <v>0</v>
      </c>
      <c r="B92" s="10">
        <f t="shared" si="35"/>
        <v>0</v>
      </c>
      <c r="C92" s="10">
        <f t="shared" si="33"/>
        <v>0</v>
      </c>
      <c r="D92" s="10">
        <f t="shared" si="36"/>
        <v>0</v>
      </c>
      <c r="E92" s="10">
        <f t="shared" si="37"/>
        <v>0</v>
      </c>
      <c r="F92" s="10">
        <f t="shared" si="38"/>
        <v>0</v>
      </c>
      <c r="G92" s="10">
        <f t="shared" si="39"/>
        <v>0</v>
      </c>
      <c r="H92" s="10"/>
    </row>
    <row r="93" spans="1:8">
      <c r="A93" s="10">
        <f t="shared" si="27"/>
        <v>0</v>
      </c>
      <c r="B93" s="10">
        <f t="shared" si="35"/>
        <v>0</v>
      </c>
      <c r="C93" s="10">
        <f t="shared" si="33"/>
        <v>0</v>
      </c>
      <c r="D93" s="10">
        <f t="shared" si="36"/>
        <v>0</v>
      </c>
      <c r="E93" s="10">
        <f t="shared" si="37"/>
        <v>0</v>
      </c>
      <c r="F93" s="10">
        <f t="shared" si="38"/>
        <v>0</v>
      </c>
      <c r="G93" s="10">
        <f t="shared" si="39"/>
        <v>0</v>
      </c>
      <c r="H93" s="10"/>
    </row>
    <row r="94" spans="1:8">
      <c r="A94" s="10">
        <f t="shared" si="27"/>
        <v>0</v>
      </c>
      <c r="B94" s="10">
        <f t="shared" si="35"/>
        <v>0</v>
      </c>
      <c r="C94" s="10">
        <f t="shared" si="33"/>
        <v>0</v>
      </c>
      <c r="D94" s="10">
        <f t="shared" si="36"/>
        <v>0</v>
      </c>
      <c r="E94" s="10">
        <f t="shared" si="37"/>
        <v>0</v>
      </c>
      <c r="F94" s="10">
        <f t="shared" si="38"/>
        <v>0</v>
      </c>
      <c r="G94" s="10">
        <f t="shared" si="39"/>
        <v>0</v>
      </c>
      <c r="H94" s="10"/>
    </row>
    <row r="95" spans="1:8">
      <c r="A95" s="10" t="str">
        <f t="shared" si="27"/>
        <v>Pomegranate</v>
      </c>
      <c r="B95" s="10">
        <f t="shared" si="35"/>
        <v>0</v>
      </c>
      <c r="C95" s="10">
        <f t="shared" si="33"/>
        <v>0</v>
      </c>
      <c r="D95" s="10">
        <f t="shared" si="33"/>
        <v>0</v>
      </c>
      <c r="E95" s="10">
        <f t="shared" si="33"/>
        <v>0</v>
      </c>
      <c r="F95" s="10">
        <f t="shared" si="33"/>
        <v>0</v>
      </c>
      <c r="G95" s="10">
        <f t="shared" si="33"/>
        <v>0</v>
      </c>
      <c r="H95" s="10">
        <f t="shared" si="33"/>
        <v>0</v>
      </c>
    </row>
    <row r="96" spans="1:8">
      <c r="A96" s="10" t="str">
        <f t="shared" si="27"/>
        <v>Custard Apple</v>
      </c>
      <c r="B96" s="10">
        <f t="shared" si="35"/>
        <v>0</v>
      </c>
      <c r="C96" s="10">
        <f t="shared" ref="C96:H98" si="40">(B96/B$72)*C$72</f>
        <v>0</v>
      </c>
      <c r="D96" s="10">
        <f t="shared" si="40"/>
        <v>0</v>
      </c>
      <c r="E96" s="10">
        <f t="shared" si="40"/>
        <v>0</v>
      </c>
      <c r="F96" s="10">
        <f t="shared" si="40"/>
        <v>0</v>
      </c>
      <c r="G96" s="10">
        <f t="shared" si="40"/>
        <v>0</v>
      </c>
      <c r="H96" s="10">
        <f t="shared" si="40"/>
        <v>0</v>
      </c>
    </row>
    <row r="97" spans="1:9">
      <c r="A97" s="10" t="str">
        <f t="shared" si="27"/>
        <v>Guava</v>
      </c>
      <c r="B97" s="10">
        <f t="shared" si="35"/>
        <v>0</v>
      </c>
      <c r="C97" s="10">
        <f t="shared" si="40"/>
        <v>0</v>
      </c>
      <c r="D97" s="10">
        <f t="shared" si="40"/>
        <v>0</v>
      </c>
      <c r="E97" s="10">
        <f t="shared" si="40"/>
        <v>0</v>
      </c>
      <c r="F97" s="10">
        <f t="shared" si="40"/>
        <v>0</v>
      </c>
      <c r="G97" s="10">
        <f t="shared" si="40"/>
        <v>0</v>
      </c>
      <c r="H97" s="10">
        <f t="shared" si="40"/>
        <v>0</v>
      </c>
    </row>
    <row r="98" spans="1:9">
      <c r="A98" s="10" t="str">
        <f t="shared" si="27"/>
        <v>Citrus</v>
      </c>
      <c r="B98" s="10">
        <f t="shared" si="35"/>
        <v>0</v>
      </c>
      <c r="C98" s="10">
        <f t="shared" si="40"/>
        <v>0</v>
      </c>
      <c r="D98" s="10">
        <f t="shared" ref="D98" si="41">(C98/C$72)*D$72</f>
        <v>0</v>
      </c>
      <c r="E98" s="10">
        <f t="shared" ref="E98" si="42">(D98/D$72)*E$72</f>
        <v>0</v>
      </c>
      <c r="F98" s="10">
        <f t="shared" ref="F98" si="43">(E98/E$72)*F$72</f>
        <v>0</v>
      </c>
      <c r="G98" s="10">
        <f t="shared" ref="G98" si="44">(F98/F$72)*G$72</f>
        <v>0</v>
      </c>
      <c r="H98" s="10">
        <f t="shared" ref="H98" si="45">(G98/G$72)*H$72</f>
        <v>0</v>
      </c>
      <c r="I98" s="283"/>
    </row>
    <row r="99" spans="1:9" ht="18.75">
      <c r="A99" s="475" t="s">
        <v>570</v>
      </c>
      <c r="B99" s="476"/>
      <c r="C99" s="476"/>
      <c r="D99" s="476"/>
      <c r="E99" s="476"/>
      <c r="F99" s="476"/>
      <c r="G99" s="476"/>
      <c r="H99" s="477"/>
    </row>
    <row r="100" spans="1:9">
      <c r="A100" s="464" t="s">
        <v>0</v>
      </c>
      <c r="B100" s="329">
        <v>0.65</v>
      </c>
      <c r="C100" s="330">
        <f>B100+0.05</f>
        <v>0.70000000000000007</v>
      </c>
      <c r="D100" s="330">
        <f t="shared" ref="D100:G100" si="46">C100+0.05</f>
        <v>0.75000000000000011</v>
      </c>
      <c r="E100" s="330">
        <f t="shared" si="46"/>
        <v>0.80000000000000016</v>
      </c>
      <c r="F100" s="330">
        <f t="shared" si="46"/>
        <v>0.8500000000000002</v>
      </c>
      <c r="G100" s="330">
        <f t="shared" si="46"/>
        <v>0.90000000000000024</v>
      </c>
      <c r="H100" s="330">
        <f>G100+0.05</f>
        <v>0.95000000000000029</v>
      </c>
    </row>
    <row r="101" spans="1:9">
      <c r="A101" s="465"/>
      <c r="B101" s="295" t="s">
        <v>2</v>
      </c>
      <c r="C101" s="295" t="s">
        <v>3</v>
      </c>
      <c r="D101" s="295" t="s">
        <v>4</v>
      </c>
      <c r="E101" s="295" t="s">
        <v>5</v>
      </c>
      <c r="F101" s="295" t="s">
        <v>6</v>
      </c>
      <c r="G101" s="295" t="s">
        <v>167</v>
      </c>
      <c r="H101" s="295" t="s">
        <v>166</v>
      </c>
    </row>
    <row r="102" spans="1:9" s="13" customFormat="1">
      <c r="A102" s="10" t="str">
        <f t="shared" ref="A102:A126" si="47">A74</f>
        <v>Onion</v>
      </c>
      <c r="B102" s="10">
        <f t="shared" ref="B102:B110" si="48">D14*$B$100</f>
        <v>0</v>
      </c>
      <c r="C102" s="292">
        <f t="shared" ref="C102:H117" si="49">(B102/B$100)*C$100</f>
        <v>0</v>
      </c>
      <c r="D102" s="292">
        <f t="shared" si="49"/>
        <v>0</v>
      </c>
      <c r="E102" s="292">
        <f t="shared" si="49"/>
        <v>0</v>
      </c>
      <c r="F102" s="292">
        <f t="shared" si="49"/>
        <v>0</v>
      </c>
      <c r="G102" s="292">
        <f t="shared" si="49"/>
        <v>0</v>
      </c>
      <c r="H102" s="292">
        <f t="shared" si="49"/>
        <v>0</v>
      </c>
    </row>
    <row r="103" spans="1:9">
      <c r="A103" s="10" t="str">
        <f t="shared" si="47"/>
        <v>Tomato</v>
      </c>
      <c r="B103" s="10">
        <f t="shared" si="48"/>
        <v>0</v>
      </c>
      <c r="C103" s="292">
        <f t="shared" si="49"/>
        <v>0</v>
      </c>
      <c r="D103" s="292">
        <f>(C103/C100)*D100</f>
        <v>0</v>
      </c>
      <c r="E103" s="292">
        <f t="shared" ref="E103:G103" si="50">(D103/D100)*E100</f>
        <v>0</v>
      </c>
      <c r="F103" s="292">
        <f t="shared" si="50"/>
        <v>0</v>
      </c>
      <c r="G103" s="292">
        <f t="shared" si="50"/>
        <v>0</v>
      </c>
      <c r="H103" s="292">
        <f>(G103/G100)*H100</f>
        <v>0</v>
      </c>
    </row>
    <row r="104" spans="1:9">
      <c r="A104" s="10" t="str">
        <f t="shared" si="47"/>
        <v>Okra</v>
      </c>
      <c r="B104" s="10">
        <f t="shared" si="48"/>
        <v>0</v>
      </c>
      <c r="C104" s="292">
        <f t="shared" si="49"/>
        <v>0</v>
      </c>
      <c r="D104" s="292">
        <f t="shared" si="49"/>
        <v>0</v>
      </c>
      <c r="E104" s="292">
        <f t="shared" si="49"/>
        <v>0</v>
      </c>
      <c r="F104" s="292">
        <f t="shared" si="49"/>
        <v>0</v>
      </c>
      <c r="G104" s="292">
        <f t="shared" si="49"/>
        <v>0</v>
      </c>
      <c r="H104" s="292">
        <f t="shared" si="49"/>
        <v>0</v>
      </c>
    </row>
    <row r="105" spans="1:9">
      <c r="A105" s="10" t="str">
        <f t="shared" si="47"/>
        <v>Chilli</v>
      </c>
      <c r="B105" s="10">
        <f t="shared" si="48"/>
        <v>0</v>
      </c>
      <c r="C105" s="292">
        <f t="shared" si="49"/>
        <v>0</v>
      </c>
      <c r="D105" s="292">
        <f t="shared" si="49"/>
        <v>0</v>
      </c>
      <c r="E105" s="292">
        <f t="shared" si="49"/>
        <v>0</v>
      </c>
      <c r="F105" s="292">
        <f t="shared" si="49"/>
        <v>0</v>
      </c>
      <c r="G105" s="292">
        <f t="shared" si="49"/>
        <v>0</v>
      </c>
      <c r="H105" s="292">
        <f t="shared" si="49"/>
        <v>0</v>
      </c>
    </row>
    <row r="106" spans="1:9">
      <c r="A106" s="10" t="str">
        <f t="shared" si="47"/>
        <v>Potato</v>
      </c>
      <c r="B106" s="365">
        <f t="shared" si="48"/>
        <v>0</v>
      </c>
      <c r="C106" s="292">
        <f t="shared" si="49"/>
        <v>0</v>
      </c>
      <c r="D106" s="292">
        <f t="shared" si="49"/>
        <v>0</v>
      </c>
      <c r="E106" s="292">
        <f t="shared" si="49"/>
        <v>0</v>
      </c>
      <c r="F106" s="292">
        <f t="shared" si="49"/>
        <v>0</v>
      </c>
      <c r="G106" s="292">
        <f t="shared" si="49"/>
        <v>0</v>
      </c>
      <c r="H106" s="292">
        <f t="shared" si="49"/>
        <v>0</v>
      </c>
    </row>
    <row r="107" spans="1:9">
      <c r="A107" s="10">
        <f t="shared" si="47"/>
        <v>0</v>
      </c>
      <c r="B107" s="10">
        <f t="shared" si="48"/>
        <v>0</v>
      </c>
      <c r="C107" s="292">
        <f t="shared" si="49"/>
        <v>0</v>
      </c>
      <c r="D107" s="292">
        <f t="shared" si="49"/>
        <v>0</v>
      </c>
      <c r="E107" s="292">
        <f t="shared" si="49"/>
        <v>0</v>
      </c>
      <c r="F107" s="292">
        <f t="shared" si="49"/>
        <v>0</v>
      </c>
      <c r="G107" s="292">
        <f t="shared" si="49"/>
        <v>0</v>
      </c>
      <c r="H107" s="292">
        <f t="shared" si="49"/>
        <v>0</v>
      </c>
    </row>
    <row r="108" spans="1:9">
      <c r="A108" s="10">
        <f t="shared" si="47"/>
        <v>0</v>
      </c>
      <c r="B108" s="10">
        <f t="shared" si="48"/>
        <v>0</v>
      </c>
      <c r="C108" s="292">
        <f t="shared" si="49"/>
        <v>0</v>
      </c>
      <c r="D108" s="292">
        <f t="shared" si="49"/>
        <v>0</v>
      </c>
      <c r="E108" s="292">
        <f t="shared" si="49"/>
        <v>0</v>
      </c>
      <c r="F108" s="292">
        <f t="shared" si="49"/>
        <v>0</v>
      </c>
      <c r="G108" s="292">
        <f t="shared" si="49"/>
        <v>0</v>
      </c>
      <c r="H108" s="292">
        <f t="shared" si="49"/>
        <v>0</v>
      </c>
    </row>
    <row r="109" spans="1:9">
      <c r="A109" s="10">
        <f t="shared" si="47"/>
        <v>0</v>
      </c>
      <c r="B109" s="10">
        <f t="shared" si="48"/>
        <v>0</v>
      </c>
      <c r="C109" s="292">
        <f t="shared" si="49"/>
        <v>0</v>
      </c>
      <c r="D109" s="292">
        <f t="shared" si="49"/>
        <v>0</v>
      </c>
      <c r="E109" s="292">
        <f t="shared" si="49"/>
        <v>0</v>
      </c>
      <c r="F109" s="292">
        <f t="shared" si="49"/>
        <v>0</v>
      </c>
      <c r="G109" s="292">
        <f t="shared" si="49"/>
        <v>0</v>
      </c>
      <c r="H109" s="292">
        <f t="shared" si="49"/>
        <v>0</v>
      </c>
    </row>
    <row r="110" spans="1:9">
      <c r="A110" s="10">
        <f t="shared" si="47"/>
        <v>0</v>
      </c>
      <c r="B110" s="10">
        <f t="shared" si="48"/>
        <v>0</v>
      </c>
      <c r="C110" s="292">
        <f t="shared" si="49"/>
        <v>0</v>
      </c>
      <c r="D110" s="292">
        <f t="shared" si="49"/>
        <v>0</v>
      </c>
      <c r="E110" s="292">
        <f t="shared" si="49"/>
        <v>0</v>
      </c>
      <c r="F110" s="292">
        <f t="shared" si="49"/>
        <v>0</v>
      </c>
      <c r="G110" s="292">
        <f t="shared" si="49"/>
        <v>0</v>
      </c>
      <c r="H110" s="292">
        <f t="shared" si="49"/>
        <v>0</v>
      </c>
    </row>
    <row r="111" spans="1:9">
      <c r="A111" s="10" t="str">
        <f t="shared" si="47"/>
        <v>Onion</v>
      </c>
      <c r="B111" s="10">
        <f t="shared" ref="B111:B118" si="51">D24*$B$100</f>
        <v>0</v>
      </c>
      <c r="C111" s="292">
        <f t="shared" si="49"/>
        <v>0</v>
      </c>
      <c r="D111" s="292">
        <f t="shared" si="49"/>
        <v>0</v>
      </c>
      <c r="E111" s="292">
        <f t="shared" si="49"/>
        <v>0</v>
      </c>
      <c r="F111" s="292">
        <f t="shared" si="49"/>
        <v>0</v>
      </c>
      <c r="G111" s="292">
        <f t="shared" si="49"/>
        <v>0</v>
      </c>
      <c r="H111" s="292">
        <f t="shared" si="49"/>
        <v>0</v>
      </c>
    </row>
    <row r="112" spans="1:9">
      <c r="A112" s="10" t="str">
        <f t="shared" si="47"/>
        <v>Tomato</v>
      </c>
      <c r="B112" s="10">
        <f t="shared" si="51"/>
        <v>0</v>
      </c>
      <c r="C112" s="292">
        <f t="shared" si="49"/>
        <v>0</v>
      </c>
      <c r="D112" s="292">
        <f t="shared" si="49"/>
        <v>0</v>
      </c>
      <c r="E112" s="292">
        <f t="shared" si="49"/>
        <v>0</v>
      </c>
      <c r="F112" s="292">
        <f t="shared" si="49"/>
        <v>0</v>
      </c>
      <c r="G112" s="292">
        <f t="shared" si="49"/>
        <v>0</v>
      </c>
      <c r="H112" s="292">
        <f t="shared" si="49"/>
        <v>0</v>
      </c>
    </row>
    <row r="113" spans="1:9">
      <c r="A113" s="10" t="str">
        <f t="shared" si="47"/>
        <v>Okra</v>
      </c>
      <c r="B113" s="10">
        <f t="shared" si="51"/>
        <v>0</v>
      </c>
      <c r="C113" s="292">
        <f t="shared" si="49"/>
        <v>0</v>
      </c>
      <c r="D113" s="292">
        <f t="shared" si="49"/>
        <v>0</v>
      </c>
      <c r="E113" s="292">
        <f t="shared" si="49"/>
        <v>0</v>
      </c>
      <c r="F113" s="292">
        <f t="shared" si="49"/>
        <v>0</v>
      </c>
      <c r="G113" s="292">
        <f t="shared" si="49"/>
        <v>0</v>
      </c>
      <c r="H113" s="292">
        <f t="shared" si="49"/>
        <v>0</v>
      </c>
    </row>
    <row r="114" spans="1:9">
      <c r="A114" s="10" t="str">
        <f t="shared" si="47"/>
        <v>Chilli</v>
      </c>
      <c r="B114" s="10">
        <f t="shared" si="51"/>
        <v>0</v>
      </c>
      <c r="C114" s="292">
        <f t="shared" si="49"/>
        <v>0</v>
      </c>
      <c r="D114" s="292">
        <f t="shared" si="49"/>
        <v>0</v>
      </c>
      <c r="E114" s="292">
        <f t="shared" si="49"/>
        <v>0</v>
      </c>
      <c r="F114" s="292">
        <f t="shared" si="49"/>
        <v>0</v>
      </c>
      <c r="G114" s="292">
        <f t="shared" si="49"/>
        <v>0</v>
      </c>
      <c r="H114" s="292">
        <f t="shared" si="49"/>
        <v>0</v>
      </c>
    </row>
    <row r="115" spans="1:9">
      <c r="A115" s="10" t="str">
        <f t="shared" si="47"/>
        <v>Brinjal</v>
      </c>
      <c r="B115" s="10">
        <f t="shared" si="51"/>
        <v>0</v>
      </c>
      <c r="C115" s="292">
        <f t="shared" si="49"/>
        <v>0</v>
      </c>
      <c r="D115" s="292">
        <f t="shared" si="49"/>
        <v>0</v>
      </c>
      <c r="E115" s="292">
        <f t="shared" si="49"/>
        <v>0</v>
      </c>
      <c r="F115" s="292">
        <f t="shared" si="49"/>
        <v>0</v>
      </c>
      <c r="G115" s="292">
        <f t="shared" si="49"/>
        <v>0</v>
      </c>
      <c r="H115" s="292">
        <f t="shared" si="49"/>
        <v>0</v>
      </c>
    </row>
    <row r="116" spans="1:9">
      <c r="A116" s="10">
        <f t="shared" si="47"/>
        <v>0</v>
      </c>
      <c r="B116" s="10">
        <f t="shared" si="51"/>
        <v>0</v>
      </c>
      <c r="C116" s="292">
        <f t="shared" si="49"/>
        <v>0</v>
      </c>
      <c r="D116" s="292">
        <f t="shared" si="49"/>
        <v>0</v>
      </c>
      <c r="E116" s="292">
        <f t="shared" si="49"/>
        <v>0</v>
      </c>
      <c r="F116" s="292">
        <f t="shared" si="49"/>
        <v>0</v>
      </c>
      <c r="G116" s="292">
        <f t="shared" si="49"/>
        <v>0</v>
      </c>
      <c r="H116" s="292">
        <f t="shared" si="49"/>
        <v>0</v>
      </c>
    </row>
    <row r="117" spans="1:9">
      <c r="A117" s="10">
        <f t="shared" si="47"/>
        <v>0</v>
      </c>
      <c r="B117" s="10">
        <f t="shared" si="51"/>
        <v>0</v>
      </c>
      <c r="C117" s="292">
        <f t="shared" si="49"/>
        <v>0</v>
      </c>
      <c r="D117" s="292">
        <f t="shared" si="49"/>
        <v>0</v>
      </c>
      <c r="E117" s="292">
        <f t="shared" si="49"/>
        <v>0</v>
      </c>
      <c r="F117" s="292">
        <f t="shared" si="49"/>
        <v>0</v>
      </c>
      <c r="G117" s="292">
        <f t="shared" si="49"/>
        <v>0</v>
      </c>
      <c r="H117" s="292">
        <f t="shared" si="49"/>
        <v>0</v>
      </c>
    </row>
    <row r="118" spans="1:9">
      <c r="A118" s="10">
        <f t="shared" si="47"/>
        <v>0</v>
      </c>
      <c r="B118" s="10">
        <f t="shared" si="51"/>
        <v>0</v>
      </c>
      <c r="C118" s="292">
        <f t="shared" ref="C118:H126" si="52">(B118/B$100)*C$100</f>
        <v>0</v>
      </c>
      <c r="D118" s="292">
        <f t="shared" si="52"/>
        <v>0</v>
      </c>
      <c r="E118" s="292">
        <f t="shared" si="52"/>
        <v>0</v>
      </c>
      <c r="F118" s="292">
        <f t="shared" si="52"/>
        <v>0</v>
      </c>
      <c r="G118" s="292">
        <f t="shared" si="52"/>
        <v>0</v>
      </c>
      <c r="H118" s="292">
        <f t="shared" si="52"/>
        <v>0</v>
      </c>
    </row>
    <row r="119" spans="1:9">
      <c r="A119" s="10">
        <f t="shared" si="47"/>
        <v>0</v>
      </c>
      <c r="B119" s="10">
        <f t="shared" ref="B119:B126" si="53">D33*$B$100</f>
        <v>0</v>
      </c>
      <c r="C119" s="292">
        <f t="shared" si="52"/>
        <v>0</v>
      </c>
      <c r="D119" s="292">
        <f t="shared" si="52"/>
        <v>0</v>
      </c>
      <c r="E119" s="292">
        <f t="shared" si="52"/>
        <v>0</v>
      </c>
      <c r="F119" s="292">
        <f t="shared" si="52"/>
        <v>0</v>
      </c>
      <c r="G119" s="292">
        <f t="shared" si="52"/>
        <v>0</v>
      </c>
      <c r="H119" s="292">
        <f t="shared" si="52"/>
        <v>0</v>
      </c>
    </row>
    <row r="120" spans="1:9">
      <c r="A120" s="10">
        <f t="shared" si="47"/>
        <v>0</v>
      </c>
      <c r="B120" s="10">
        <f t="shared" si="53"/>
        <v>0</v>
      </c>
      <c r="C120" s="292">
        <f t="shared" si="52"/>
        <v>0</v>
      </c>
      <c r="D120" s="292">
        <f t="shared" ref="D120:D122" si="54">(C120/C$100)*D$100</f>
        <v>0</v>
      </c>
      <c r="E120" s="292">
        <f t="shared" ref="E120:E122" si="55">(D120/D$100)*E$100</f>
        <v>0</v>
      </c>
      <c r="F120" s="292">
        <f t="shared" ref="F120:F122" si="56">(E120/E$100)*F$100</f>
        <v>0</v>
      </c>
      <c r="G120" s="292">
        <f t="shared" ref="G120:G122" si="57">(F120/F$100)*G$100</f>
        <v>0</v>
      </c>
      <c r="H120" s="292">
        <f t="shared" si="52"/>
        <v>0</v>
      </c>
    </row>
    <row r="121" spans="1:9">
      <c r="A121" s="10">
        <f t="shared" si="47"/>
        <v>0</v>
      </c>
      <c r="B121" s="10">
        <f t="shared" si="53"/>
        <v>0</v>
      </c>
      <c r="C121" s="292">
        <f t="shared" si="52"/>
        <v>0</v>
      </c>
      <c r="D121" s="292">
        <f t="shared" si="54"/>
        <v>0</v>
      </c>
      <c r="E121" s="292">
        <f t="shared" si="55"/>
        <v>0</v>
      </c>
      <c r="F121" s="292">
        <f t="shared" si="56"/>
        <v>0</v>
      </c>
      <c r="G121" s="292">
        <f t="shared" si="57"/>
        <v>0</v>
      </c>
      <c r="H121" s="292">
        <f t="shared" si="52"/>
        <v>0</v>
      </c>
    </row>
    <row r="122" spans="1:9">
      <c r="A122" s="10">
        <f t="shared" si="47"/>
        <v>0</v>
      </c>
      <c r="B122" s="10">
        <f t="shared" si="53"/>
        <v>0</v>
      </c>
      <c r="C122" s="292">
        <f t="shared" si="52"/>
        <v>0</v>
      </c>
      <c r="D122" s="292">
        <f t="shared" si="54"/>
        <v>0</v>
      </c>
      <c r="E122" s="292">
        <f t="shared" si="55"/>
        <v>0</v>
      </c>
      <c r="F122" s="292">
        <f t="shared" si="56"/>
        <v>0</v>
      </c>
      <c r="G122" s="292">
        <f t="shared" si="57"/>
        <v>0</v>
      </c>
      <c r="H122" s="292">
        <f t="shared" si="52"/>
        <v>0</v>
      </c>
    </row>
    <row r="123" spans="1:9">
      <c r="A123" s="10" t="str">
        <f t="shared" si="47"/>
        <v>Pomegranate</v>
      </c>
      <c r="B123" s="10">
        <f t="shared" si="53"/>
        <v>0</v>
      </c>
      <c r="C123" s="292">
        <f t="shared" si="52"/>
        <v>0</v>
      </c>
      <c r="D123" s="292">
        <f t="shared" si="52"/>
        <v>0</v>
      </c>
      <c r="E123" s="292">
        <f t="shared" si="52"/>
        <v>0</v>
      </c>
      <c r="F123" s="292">
        <f t="shared" si="52"/>
        <v>0</v>
      </c>
      <c r="G123" s="292">
        <f t="shared" si="52"/>
        <v>0</v>
      </c>
      <c r="H123" s="292">
        <f t="shared" si="52"/>
        <v>0</v>
      </c>
    </row>
    <row r="124" spans="1:9">
      <c r="A124" s="10" t="str">
        <f t="shared" si="47"/>
        <v>Custard Apple</v>
      </c>
      <c r="B124" s="10">
        <f t="shared" si="53"/>
        <v>0</v>
      </c>
      <c r="C124" s="292">
        <f t="shared" si="52"/>
        <v>0</v>
      </c>
      <c r="D124" s="292">
        <f t="shared" ref="D124" si="58">(C124/C$100)*D$100</f>
        <v>0</v>
      </c>
      <c r="E124" s="292">
        <f t="shared" ref="E124" si="59">(D124/D$100)*E$100</f>
        <v>0</v>
      </c>
      <c r="F124" s="292">
        <f t="shared" ref="F124" si="60">(E124/E$100)*F$100</f>
        <v>0</v>
      </c>
      <c r="G124" s="292">
        <f t="shared" ref="G124" si="61">(F124/F$100)*G$100</f>
        <v>0</v>
      </c>
      <c r="H124" s="292">
        <f t="shared" si="52"/>
        <v>0</v>
      </c>
    </row>
    <row r="125" spans="1:9">
      <c r="A125" s="10" t="str">
        <f t="shared" si="47"/>
        <v>Guava</v>
      </c>
      <c r="B125" s="10">
        <f t="shared" si="53"/>
        <v>0</v>
      </c>
      <c r="C125" s="292">
        <f t="shared" si="52"/>
        <v>0</v>
      </c>
      <c r="D125" s="292">
        <f t="shared" si="52"/>
        <v>0</v>
      </c>
      <c r="E125" s="292">
        <f t="shared" si="52"/>
        <v>0</v>
      </c>
      <c r="F125" s="292">
        <f t="shared" si="52"/>
        <v>0</v>
      </c>
      <c r="G125" s="292">
        <f t="shared" si="52"/>
        <v>0</v>
      </c>
      <c r="H125" s="292">
        <f t="shared" si="52"/>
        <v>0</v>
      </c>
    </row>
    <row r="126" spans="1:9">
      <c r="A126" s="10" t="str">
        <f t="shared" si="47"/>
        <v>Citrus</v>
      </c>
      <c r="B126" s="10">
        <f t="shared" si="53"/>
        <v>0</v>
      </c>
      <c r="C126" s="292">
        <f t="shared" si="52"/>
        <v>0</v>
      </c>
      <c r="D126" s="292">
        <f t="shared" si="52"/>
        <v>0</v>
      </c>
      <c r="E126" s="292">
        <f t="shared" si="52"/>
        <v>0</v>
      </c>
      <c r="F126" s="292">
        <f t="shared" si="52"/>
        <v>0</v>
      </c>
      <c r="G126" s="292">
        <f t="shared" si="52"/>
        <v>0</v>
      </c>
      <c r="H126" s="292">
        <f t="shared" si="52"/>
        <v>0</v>
      </c>
    </row>
    <row r="128" spans="1:9">
      <c r="C128" s="4"/>
      <c r="D128" s="6"/>
      <c r="E128" s="6"/>
      <c r="F128" s="6"/>
      <c r="G128" s="6"/>
      <c r="H128" s="6"/>
      <c r="I128" s="6"/>
    </row>
    <row r="129" spans="1:9">
      <c r="A129" t="s">
        <v>543</v>
      </c>
      <c r="C129" s="302"/>
      <c r="D129" s="302"/>
      <c r="E129" s="302"/>
      <c r="F129" s="302"/>
      <c r="G129" s="302"/>
      <c r="H129" s="302"/>
      <c r="I129" s="302"/>
    </row>
    <row r="130" spans="1:9">
      <c r="A130">
        <v>1</v>
      </c>
      <c r="B130" t="s">
        <v>544</v>
      </c>
    </row>
    <row r="131" spans="1:9">
      <c r="A131">
        <v>2</v>
      </c>
      <c r="B131" t="s">
        <v>545</v>
      </c>
    </row>
    <row r="132" spans="1:9">
      <c r="A132">
        <v>3</v>
      </c>
      <c r="B132" t="s">
        <v>546</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0866141732283472" right="0.70866141732283472" top="0.74803149606299213" bottom="0.74803149606299213" header="0.31496062992125984" footer="0.31496062992125984"/>
  <pageSetup scale="59" orientation="landscape" r:id="rId1"/>
  <rowBreaks count="2" manualBreakCount="2">
    <brk id="41" max="25" man="1"/>
    <brk id="98"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0" zoomScaleSheetLayoutView="80" workbookViewId="0">
      <selection activeCell="B5" sqref="B5"/>
    </sheetView>
  </sheetViews>
  <sheetFormatPr defaultRowHeight="15"/>
  <cols>
    <col min="1" max="1" width="42.42578125" bestFit="1" customWidth="1"/>
    <col min="2" max="2" width="23.42578125" customWidth="1"/>
    <col min="3" max="3" width="13.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12" t="s">
        <v>571</v>
      </c>
      <c r="B2" s="412"/>
      <c r="C2" s="412"/>
      <c r="D2" s="412"/>
      <c r="E2" s="412"/>
      <c r="F2" s="412"/>
      <c r="G2" s="412"/>
      <c r="H2" s="412"/>
    </row>
    <row r="3" spans="1:8" ht="18.75">
      <c r="A3" s="412" t="s">
        <v>572</v>
      </c>
      <c r="B3" s="412"/>
      <c r="C3" s="412"/>
      <c r="D3" s="412"/>
      <c r="E3" s="412"/>
      <c r="F3" s="412"/>
      <c r="G3" s="412"/>
      <c r="H3" s="412"/>
    </row>
    <row r="4" spans="1:8">
      <c r="B4" s="93"/>
      <c r="C4" s="93"/>
      <c r="D4" s="93"/>
      <c r="E4" s="93"/>
      <c r="F4" s="413" t="s">
        <v>479</v>
      </c>
      <c r="G4" s="413"/>
      <c r="H4" s="413"/>
    </row>
    <row r="5" spans="1:8">
      <c r="A5" s="93" t="s">
        <v>159</v>
      </c>
      <c r="B5" s="240">
        <v>100</v>
      </c>
      <c r="C5" s="93" t="s">
        <v>455</v>
      </c>
      <c r="D5" s="93"/>
      <c r="E5" s="93"/>
      <c r="F5" s="277" t="s">
        <v>480</v>
      </c>
      <c r="G5" s="277" t="s">
        <v>481</v>
      </c>
      <c r="H5" s="93"/>
    </row>
    <row r="6" spans="1:8">
      <c r="A6" s="93" t="s">
        <v>160</v>
      </c>
      <c r="B6" s="267">
        <v>8</v>
      </c>
      <c r="C6" s="93"/>
      <c r="D6" s="93"/>
      <c r="E6" s="93"/>
      <c r="F6" s="10" t="s">
        <v>477</v>
      </c>
      <c r="G6" s="310">
        <v>0.03</v>
      </c>
      <c r="H6" s="93"/>
    </row>
    <row r="7" spans="1:8">
      <c r="A7" s="93"/>
      <c r="B7" s="93"/>
      <c r="C7" s="93"/>
      <c r="D7" s="93"/>
      <c r="E7" s="93"/>
      <c r="F7" s="10" t="s">
        <v>478</v>
      </c>
      <c r="G7" s="310">
        <v>0.05</v>
      </c>
      <c r="H7" s="93"/>
    </row>
    <row r="8" spans="1:8">
      <c r="A8" s="93" t="s">
        <v>518</v>
      </c>
      <c r="B8" s="93">
        <v>300</v>
      </c>
      <c r="C8" s="93"/>
      <c r="D8" s="93"/>
      <c r="E8" s="93"/>
      <c r="F8" s="10"/>
      <c r="G8" s="310"/>
      <c r="H8" s="93"/>
    </row>
    <row r="9" spans="1:8">
      <c r="A9" s="147" t="s">
        <v>0</v>
      </c>
      <c r="B9" s="119" t="s">
        <v>2</v>
      </c>
      <c r="C9" s="119" t="s">
        <v>3</v>
      </c>
      <c r="D9" s="119" t="s">
        <v>4</v>
      </c>
      <c r="E9" s="119" t="s">
        <v>5</v>
      </c>
      <c r="F9" s="119" t="s">
        <v>6</v>
      </c>
      <c r="G9" s="119" t="s">
        <v>167</v>
      </c>
      <c r="H9" s="119" t="s">
        <v>166</v>
      </c>
    </row>
    <row r="10" spans="1:8">
      <c r="A10" s="94" t="s">
        <v>454</v>
      </c>
      <c r="B10" s="286">
        <f>B33/($B$5*$B$6)</f>
        <v>6.4785937499999999</v>
      </c>
      <c r="C10" s="286">
        <f t="shared" ref="C10:H10" si="0">C33/($B$5*$B$6)</f>
        <v>7.5583593750000011</v>
      </c>
      <c r="D10" s="286">
        <f t="shared" si="0"/>
        <v>8.6381249999999987</v>
      </c>
      <c r="E10" s="286">
        <f t="shared" si="0"/>
        <v>9.7178906250000008</v>
      </c>
      <c r="F10" s="286">
        <f t="shared" si="0"/>
        <v>10.797656249999996</v>
      </c>
      <c r="G10" s="286">
        <f t="shared" si="0"/>
        <v>11.877421874999996</v>
      </c>
      <c r="H10" s="286">
        <f t="shared" si="0"/>
        <v>12.9571875</v>
      </c>
    </row>
    <row r="11" spans="1:8">
      <c r="A11" s="200" t="str">
        <f>'10.Grain Production details'!A42</f>
        <v>Soybean</v>
      </c>
      <c r="B11" s="200">
        <f>'10.Grain Production details'!B42</f>
        <v>1336.5</v>
      </c>
      <c r="C11" s="200">
        <f>'10.Grain Production details'!C42</f>
        <v>1559.25</v>
      </c>
      <c r="D11" s="200">
        <f>'10.Grain Production details'!D42</f>
        <v>1781.9999999999998</v>
      </c>
      <c r="E11" s="200">
        <f>'10.Grain Production details'!E42</f>
        <v>2004.7499999999998</v>
      </c>
      <c r="F11" s="200">
        <f>'10.Grain Production details'!F42</f>
        <v>2227.4999999999995</v>
      </c>
      <c r="G11" s="200">
        <f>'10.Grain Production details'!G42</f>
        <v>2450.2499999999995</v>
      </c>
      <c r="H11" s="200">
        <f>'10.Grain Production details'!H42</f>
        <v>2673</v>
      </c>
    </row>
    <row r="12" spans="1:8">
      <c r="A12" s="200" t="str">
        <f>'10.Grain Production details'!A43</f>
        <v>Tur</v>
      </c>
      <c r="B12" s="200">
        <f>'10.Grain Production details'!B43</f>
        <v>142.5</v>
      </c>
      <c r="C12" s="200">
        <f>'10.Grain Production details'!C43</f>
        <v>166.25</v>
      </c>
      <c r="D12" s="200">
        <f>'10.Grain Production details'!D43</f>
        <v>190</v>
      </c>
      <c r="E12" s="200">
        <f>'10.Grain Production details'!E43</f>
        <v>213.75</v>
      </c>
      <c r="F12" s="200">
        <f>'10.Grain Production details'!F43</f>
        <v>237.5</v>
      </c>
      <c r="G12" s="200">
        <f>'10.Grain Production details'!G43</f>
        <v>261.25</v>
      </c>
      <c r="H12" s="200">
        <f>'10.Grain Production details'!H43</f>
        <v>285</v>
      </c>
    </row>
    <row r="13" spans="1:8">
      <c r="A13" s="200" t="str">
        <f>'10.Grain Production details'!A44</f>
        <v>Turmeric</v>
      </c>
      <c r="B13" s="200">
        <f>'10.Grain Production details'!B44</f>
        <v>1559.25</v>
      </c>
      <c r="C13" s="200">
        <f>'10.Grain Production details'!C44</f>
        <v>1819.1249999999998</v>
      </c>
      <c r="D13" s="200">
        <f>'10.Grain Production details'!D44</f>
        <v>2079</v>
      </c>
      <c r="E13" s="200">
        <f>'10.Grain Production details'!E44</f>
        <v>2338.8749999999995</v>
      </c>
      <c r="F13" s="200">
        <f>'10.Grain Production details'!F44</f>
        <v>2598.7499999999991</v>
      </c>
      <c r="G13" s="200">
        <f>'10.Grain Production details'!G44</f>
        <v>2858.6249999999991</v>
      </c>
      <c r="H13" s="200">
        <f>'10.Grain Production details'!H44</f>
        <v>3118.4999999999995</v>
      </c>
    </row>
    <row r="14" spans="1:8">
      <c r="A14" s="200" t="str">
        <f>'10.Grain Production details'!A45</f>
        <v>Moong</v>
      </c>
      <c r="B14" s="200">
        <f>'10.Grain Production details'!B45</f>
        <v>103.95</v>
      </c>
      <c r="C14" s="200">
        <f>'10.Grain Production details'!C45</f>
        <v>121.27499999999999</v>
      </c>
      <c r="D14" s="200">
        <f>'10.Grain Production details'!D45</f>
        <v>138.6</v>
      </c>
      <c r="E14" s="200">
        <f>'10.Grain Production details'!E45</f>
        <v>155.92499999999998</v>
      </c>
      <c r="F14" s="200">
        <f>'10.Grain Production details'!F45</f>
        <v>173.24999999999997</v>
      </c>
      <c r="G14" s="200">
        <f>'10.Grain Production details'!G45</f>
        <v>190.57499999999999</v>
      </c>
      <c r="H14" s="200">
        <f>'10.Grain Production details'!H45</f>
        <v>207.9</v>
      </c>
    </row>
    <row r="15" spans="1:8">
      <c r="A15" s="200" t="str">
        <f>'10.Grain Production details'!A46</f>
        <v>Maize</v>
      </c>
      <c r="B15" s="200">
        <f>'10.Grain Production details'!B46</f>
        <v>0</v>
      </c>
      <c r="C15" s="200">
        <f>'10.Grain Production details'!C46</f>
        <v>0</v>
      </c>
      <c r="D15" s="200">
        <f>'10.Grain Production details'!D46</f>
        <v>0</v>
      </c>
      <c r="E15" s="200">
        <f>'10.Grain Production details'!E46</f>
        <v>0</v>
      </c>
      <c r="F15" s="200">
        <f>'10.Grain Production details'!F46</f>
        <v>0</v>
      </c>
      <c r="G15" s="200">
        <f>'10.Grain Production details'!G46</f>
        <v>0</v>
      </c>
      <c r="H15" s="200">
        <f>'10.Grain Production details'!H46</f>
        <v>0</v>
      </c>
    </row>
    <row r="16" spans="1:8">
      <c r="A16" s="200" t="str">
        <f>'10.Grain Production details'!A47</f>
        <v>Udid</v>
      </c>
      <c r="B16" s="200">
        <f>'10.Grain Production details'!B47</f>
        <v>118.8</v>
      </c>
      <c r="C16" s="200">
        <f>'10.Grain Production details'!C47</f>
        <v>138.6</v>
      </c>
      <c r="D16" s="200">
        <f>'10.Grain Production details'!D47</f>
        <v>158.39999999999998</v>
      </c>
      <c r="E16" s="200">
        <f>'10.Grain Production details'!E47</f>
        <v>178.2</v>
      </c>
      <c r="F16" s="200">
        <f>'10.Grain Production details'!F47</f>
        <v>197.99999999999997</v>
      </c>
      <c r="G16" s="200">
        <f>'10.Grain Production details'!G47</f>
        <v>217.79999999999998</v>
      </c>
      <c r="H16" s="200">
        <f>'10.Grain Production details'!H47</f>
        <v>237.6</v>
      </c>
    </row>
    <row r="17" spans="1:8">
      <c r="A17" s="200" t="str">
        <f>'10.Grain Production details'!A48</f>
        <v>Bajra</v>
      </c>
      <c r="B17" s="200">
        <f>'10.Grain Production details'!B48</f>
        <v>0</v>
      </c>
      <c r="C17" s="200">
        <f>'10.Grain Production details'!C48</f>
        <v>0</v>
      </c>
      <c r="D17" s="200">
        <f>'10.Grain Production details'!D48</f>
        <v>0</v>
      </c>
      <c r="E17" s="200">
        <f>'10.Grain Production details'!E48</f>
        <v>0</v>
      </c>
      <c r="F17" s="200">
        <f>'10.Grain Production details'!F48</f>
        <v>0</v>
      </c>
      <c r="G17" s="200">
        <f>'10.Grain Production details'!G48</f>
        <v>0</v>
      </c>
      <c r="H17" s="200">
        <f>'10.Grain Production details'!H48</f>
        <v>0</v>
      </c>
    </row>
    <row r="18" spans="1:8">
      <c r="A18" s="200" t="str">
        <f>'10.Grain Production details'!A49</f>
        <v>Jawar</v>
      </c>
      <c r="B18" s="200">
        <f>'10.Grain Production details'!B49</f>
        <v>145.5</v>
      </c>
      <c r="C18" s="200">
        <f>'10.Grain Production details'!C49</f>
        <v>169.75</v>
      </c>
      <c r="D18" s="200">
        <f>'10.Grain Production details'!D49</f>
        <v>194</v>
      </c>
      <c r="E18" s="200">
        <f>'10.Grain Production details'!E49</f>
        <v>218.25</v>
      </c>
      <c r="F18" s="200">
        <f>'10.Grain Production details'!F49</f>
        <v>242.5</v>
      </c>
      <c r="G18" s="200">
        <f>'10.Grain Production details'!G49</f>
        <v>266.75</v>
      </c>
      <c r="H18" s="200">
        <f>'10.Grain Production details'!H49</f>
        <v>291</v>
      </c>
    </row>
    <row r="19" spans="1:8">
      <c r="A19" s="200" t="str">
        <f>'10.Grain Production details'!A50</f>
        <v>Channa</v>
      </c>
      <c r="B19" s="200">
        <f>'10.Grain Production details'!B50</f>
        <v>0</v>
      </c>
      <c r="C19" s="200">
        <f>'10.Grain Production details'!C50</f>
        <v>0</v>
      </c>
      <c r="D19" s="200">
        <f>'10.Grain Production details'!D50</f>
        <v>0</v>
      </c>
      <c r="E19" s="200">
        <f>'10.Grain Production details'!E50</f>
        <v>0</v>
      </c>
      <c r="F19" s="200">
        <f>'10.Grain Production details'!F50</f>
        <v>0</v>
      </c>
      <c r="G19" s="200">
        <f>'10.Grain Production details'!G50</f>
        <v>0</v>
      </c>
      <c r="H19" s="200">
        <f>'10.Grain Production details'!H50</f>
        <v>0</v>
      </c>
    </row>
    <row r="20" spans="1:8">
      <c r="A20" s="200" t="str">
        <f>'10.Grain Production details'!A51</f>
        <v>Wheat</v>
      </c>
      <c r="B20" s="200">
        <f>'10.Grain Production details'!B51</f>
        <v>384.75</v>
      </c>
      <c r="C20" s="200">
        <f>'10.Grain Production details'!C51</f>
        <v>448.87499999999994</v>
      </c>
      <c r="D20" s="200">
        <f>'10.Grain Production details'!D51</f>
        <v>513</v>
      </c>
      <c r="E20" s="200">
        <f>'10.Grain Production details'!E51</f>
        <v>577.12499999999989</v>
      </c>
      <c r="F20" s="200">
        <f>'10.Grain Production details'!F51</f>
        <v>641.24999999999977</v>
      </c>
      <c r="G20" s="200">
        <f>'10.Grain Production details'!G51</f>
        <v>705.37499999999977</v>
      </c>
      <c r="H20" s="200">
        <f>'10.Grain Production details'!H51</f>
        <v>769.49999999999989</v>
      </c>
    </row>
    <row r="21" spans="1:8">
      <c r="A21" s="200" t="str">
        <f>'10.Grain Production details'!A52</f>
        <v>Channa</v>
      </c>
      <c r="B21" s="200">
        <f>'10.Grain Production details'!B52</f>
        <v>1197</v>
      </c>
      <c r="C21" s="200">
        <f>'10.Grain Production details'!C52</f>
        <v>1396.5</v>
      </c>
      <c r="D21" s="200">
        <f>'10.Grain Production details'!D52</f>
        <v>1596</v>
      </c>
      <c r="E21" s="200">
        <f>'10.Grain Production details'!E52</f>
        <v>1795.5</v>
      </c>
      <c r="F21" s="200">
        <f>'10.Grain Production details'!F52</f>
        <v>1995</v>
      </c>
      <c r="G21" s="200">
        <f>'10.Grain Production details'!G52</f>
        <v>2194.5</v>
      </c>
      <c r="H21" s="200">
        <f>'10.Grain Production details'!H52</f>
        <v>2394</v>
      </c>
    </row>
    <row r="22" spans="1:8">
      <c r="A22" s="200" t="str">
        <f>'10.Grain Production details'!A53</f>
        <v>Jawar</v>
      </c>
      <c r="B22" s="200">
        <f>'10.Grain Production details'!B53</f>
        <v>139.68</v>
      </c>
      <c r="C22" s="200">
        <f>'10.Grain Production details'!C53</f>
        <v>162.96</v>
      </c>
      <c r="D22" s="200">
        <f>'10.Grain Production details'!D53</f>
        <v>186.24</v>
      </c>
      <c r="E22" s="200">
        <f>'10.Grain Production details'!E53</f>
        <v>209.52</v>
      </c>
      <c r="F22" s="200">
        <f>'10.Grain Production details'!F53</f>
        <v>232.8</v>
      </c>
      <c r="G22" s="200">
        <f>'10.Grain Production details'!G53</f>
        <v>256.08000000000004</v>
      </c>
      <c r="H22" s="200">
        <f>'10.Grain Production details'!H53</f>
        <v>279.36000000000007</v>
      </c>
    </row>
    <row r="23" spans="1:8">
      <c r="A23" s="200" t="str">
        <f>'10.Grain Production details'!A54</f>
        <v>Maize</v>
      </c>
      <c r="B23" s="200">
        <f>'10.Grain Production details'!B54</f>
        <v>0</v>
      </c>
      <c r="C23" s="200">
        <f>'10.Grain Production details'!C54</f>
        <v>0</v>
      </c>
      <c r="D23" s="200">
        <f>'10.Grain Production details'!D54</f>
        <v>0</v>
      </c>
      <c r="E23" s="200">
        <f>'10.Grain Production details'!E54</f>
        <v>0</v>
      </c>
      <c r="F23" s="200">
        <f>'10.Grain Production details'!F54</f>
        <v>0</v>
      </c>
      <c r="G23" s="200">
        <f>'10.Grain Production details'!G54</f>
        <v>0</v>
      </c>
      <c r="H23" s="200">
        <f>'10.Grain Production details'!H54</f>
        <v>0</v>
      </c>
    </row>
    <row r="24" spans="1:8">
      <c r="A24" s="200" t="str">
        <f>'10.Grain Production details'!A55</f>
        <v>Safflower</v>
      </c>
      <c r="B24" s="200">
        <f>'10.Grain Production details'!B55</f>
        <v>0</v>
      </c>
      <c r="C24" s="200">
        <f>'10.Grain Production details'!C55</f>
        <v>0</v>
      </c>
      <c r="D24" s="200">
        <f>'10.Grain Production details'!D55</f>
        <v>0</v>
      </c>
      <c r="E24" s="200">
        <f>'10.Grain Production details'!E55</f>
        <v>0</v>
      </c>
      <c r="F24" s="200">
        <f>'10.Grain Production details'!F55</f>
        <v>0</v>
      </c>
      <c r="G24" s="200">
        <f>'10.Grain Production details'!G55</f>
        <v>0</v>
      </c>
      <c r="H24" s="200">
        <f>'10.Grain Production details'!H55</f>
        <v>0</v>
      </c>
    </row>
    <row r="25" spans="1:8">
      <c r="A25" s="200" t="str">
        <f>'10.Grain Production details'!A56</f>
        <v>Groundnut</v>
      </c>
      <c r="B25" s="200">
        <f>'10.Grain Production details'!B56</f>
        <v>44.55</v>
      </c>
      <c r="C25" s="200">
        <f>'10.Grain Production details'!C56</f>
        <v>51.974999999999994</v>
      </c>
      <c r="D25" s="200">
        <f>'10.Grain Production details'!D56</f>
        <v>59.4</v>
      </c>
      <c r="E25" s="200">
        <f>'10.Grain Production details'!E56</f>
        <v>66.824999999999989</v>
      </c>
      <c r="F25" s="200">
        <f>'10.Grain Production details'!F56</f>
        <v>74.249999999999986</v>
      </c>
      <c r="G25" s="200">
        <f>'10.Grain Production details'!G56</f>
        <v>81.674999999999997</v>
      </c>
      <c r="H25" s="200">
        <f>'10.Grain Production details'!H56</f>
        <v>89.1</v>
      </c>
    </row>
    <row r="26" spans="1:8">
      <c r="A26" s="200">
        <f>'10.Grain Production details'!A57</f>
        <v>0</v>
      </c>
      <c r="B26" s="200">
        <f>'10.Grain Production details'!B57</f>
        <v>0</v>
      </c>
      <c r="C26" s="200">
        <f>'10.Grain Production details'!C57</f>
        <v>0</v>
      </c>
      <c r="D26" s="200">
        <f>'10.Grain Production details'!D57</f>
        <v>0</v>
      </c>
      <c r="E26" s="200">
        <f>'10.Grain Production details'!E57</f>
        <v>0</v>
      </c>
      <c r="F26" s="200">
        <f>'10.Grain Production details'!F57</f>
        <v>0</v>
      </c>
      <c r="G26" s="200">
        <f>'10.Grain Production details'!G57</f>
        <v>0</v>
      </c>
      <c r="H26" s="200">
        <f>'10.Grain Production details'!H57</f>
        <v>0</v>
      </c>
    </row>
    <row r="27" spans="1:8">
      <c r="A27" s="200">
        <f>'10.Grain Production details'!A58</f>
        <v>0</v>
      </c>
      <c r="B27" s="200">
        <f>'10.Grain Production details'!B58</f>
        <v>0</v>
      </c>
      <c r="C27" s="200">
        <f>'10.Grain Production details'!C58</f>
        <v>0</v>
      </c>
      <c r="D27" s="200">
        <f>'10.Grain Production details'!D58</f>
        <v>0</v>
      </c>
      <c r="E27" s="200">
        <f>'10.Grain Production details'!E58</f>
        <v>0</v>
      </c>
      <c r="F27" s="200">
        <f>'10.Grain Production details'!F58</f>
        <v>0</v>
      </c>
      <c r="G27" s="200">
        <f>'10.Grain Production details'!G58</f>
        <v>0</v>
      </c>
      <c r="H27" s="200">
        <f>'10.Grain Production details'!H58</f>
        <v>0</v>
      </c>
    </row>
    <row r="28" spans="1:8">
      <c r="A28" s="200" t="str">
        <f>'10.Grain Production details'!A59</f>
        <v>Soybean</v>
      </c>
      <c r="B28" s="200">
        <f>'10.Grain Production details'!B59</f>
        <v>5.94</v>
      </c>
      <c r="C28" s="200">
        <f>'10.Grain Production details'!C59</f>
        <v>6.93</v>
      </c>
      <c r="D28" s="200">
        <f>'10.Grain Production details'!D59</f>
        <v>7.92</v>
      </c>
      <c r="E28" s="200">
        <f>'10.Grain Production details'!E59</f>
        <v>8.91</v>
      </c>
      <c r="F28" s="200">
        <f>'10.Grain Production details'!F59</f>
        <v>9.8999999999999986</v>
      </c>
      <c r="G28" s="200">
        <f>'10.Grain Production details'!G59</f>
        <v>10.889999999999999</v>
      </c>
      <c r="H28" s="200">
        <f>'10.Grain Production details'!H59</f>
        <v>11.88</v>
      </c>
    </row>
    <row r="29" spans="1:8">
      <c r="A29" s="200" t="str">
        <f>'10.Grain Production details'!A60</f>
        <v>Paddy</v>
      </c>
      <c r="B29" s="200">
        <f>'10.Grain Production details'!B60</f>
        <v>4.4550000000000001</v>
      </c>
      <c r="C29" s="200">
        <f>'10.Grain Production details'!C60</f>
        <v>5.1974999999999998</v>
      </c>
      <c r="D29" s="200">
        <f>'10.Grain Production details'!D60</f>
        <v>5.9399999999999995</v>
      </c>
      <c r="E29" s="200">
        <f>'10.Grain Production details'!E60</f>
        <v>6.6824999999999992</v>
      </c>
      <c r="F29" s="200">
        <f>'10.Grain Production details'!F60</f>
        <v>7.4249999999999989</v>
      </c>
      <c r="G29" s="200">
        <f>'10.Grain Production details'!G60</f>
        <v>8.1674999999999986</v>
      </c>
      <c r="H29" s="200">
        <f>'10.Grain Production details'!H60</f>
        <v>8.91</v>
      </c>
    </row>
    <row r="30" spans="1:8">
      <c r="A30" s="200">
        <f>'10.Grain Production details'!A61</f>
        <v>0</v>
      </c>
      <c r="B30" s="200">
        <f>'10.Grain Production details'!B61</f>
        <v>0</v>
      </c>
      <c r="C30" s="200">
        <f>'10.Grain Production details'!C61</f>
        <v>0</v>
      </c>
      <c r="D30" s="200">
        <f>'10.Grain Production details'!D61</f>
        <v>0</v>
      </c>
      <c r="E30" s="200">
        <f>'10.Grain Production details'!E61</f>
        <v>0</v>
      </c>
      <c r="F30" s="200">
        <f>'10.Grain Production details'!F61</f>
        <v>0</v>
      </c>
      <c r="G30" s="200">
        <f>'10.Grain Production details'!G61</f>
        <v>0</v>
      </c>
      <c r="H30" s="200">
        <f>'10.Grain Production details'!H61</f>
        <v>0</v>
      </c>
    </row>
    <row r="31" spans="1:8">
      <c r="A31" s="200">
        <f>'10.Grain Production details'!A62</f>
        <v>0</v>
      </c>
      <c r="B31" s="200">
        <f>'10.Grain Production details'!B62</f>
        <v>0</v>
      </c>
      <c r="C31" s="200">
        <f>'10.Grain Production details'!C62</f>
        <v>0</v>
      </c>
      <c r="D31" s="200">
        <f>'10.Grain Production details'!D62</f>
        <v>0</v>
      </c>
      <c r="E31" s="200">
        <f>'10.Grain Production details'!E62</f>
        <v>0</v>
      </c>
      <c r="F31" s="200">
        <f>'10.Grain Production details'!F62</f>
        <v>0</v>
      </c>
      <c r="G31" s="200">
        <f>'10.Grain Production details'!G62</f>
        <v>0</v>
      </c>
      <c r="H31" s="200">
        <f>'10.Grain Production details'!H62</f>
        <v>0</v>
      </c>
    </row>
    <row r="32" spans="1:8">
      <c r="A32" s="200">
        <f>'10.Grain Production details'!B63</f>
        <v>0</v>
      </c>
      <c r="B32" s="200">
        <f>'10.Grain Production details'!C63</f>
        <v>0</v>
      </c>
      <c r="C32" s="200">
        <f>'10.Grain Production details'!D63</f>
        <v>0</v>
      </c>
      <c r="D32" s="200">
        <f>'10.Grain Production details'!E63</f>
        <v>0</v>
      </c>
      <c r="E32" s="200">
        <f>'10.Grain Production details'!F63</f>
        <v>0</v>
      </c>
      <c r="F32" s="200">
        <f>'10.Grain Production details'!G63</f>
        <v>0</v>
      </c>
      <c r="G32" s="200">
        <f>'10.Grain Production details'!H63</f>
        <v>0</v>
      </c>
      <c r="H32" s="200">
        <f>'10.Grain Production details'!I63</f>
        <v>0</v>
      </c>
    </row>
    <row r="33" spans="1:8">
      <c r="A33" s="96" t="s">
        <v>515</v>
      </c>
      <c r="B33" s="200">
        <f t="shared" ref="B33:H33" si="1">SUM(B11:B32)</f>
        <v>5182.875</v>
      </c>
      <c r="C33" s="200">
        <f t="shared" si="1"/>
        <v>6046.6875000000009</v>
      </c>
      <c r="D33" s="200">
        <f t="shared" si="1"/>
        <v>6910.4999999999991</v>
      </c>
      <c r="E33" s="200">
        <f t="shared" si="1"/>
        <v>7774.3125</v>
      </c>
      <c r="F33" s="200">
        <f t="shared" si="1"/>
        <v>8638.1249999999964</v>
      </c>
      <c r="G33" s="200">
        <f t="shared" si="1"/>
        <v>9501.9374999999964</v>
      </c>
      <c r="H33" s="200">
        <f t="shared" si="1"/>
        <v>10365.75</v>
      </c>
    </row>
    <row r="34" spans="1:8">
      <c r="A34" s="200" t="str">
        <f>'11.F&amp;V Crop Production details'!A1:H1</f>
        <v>Fruit  &amp; Vegetables Crop Production Details</v>
      </c>
      <c r="B34" s="200"/>
      <c r="C34" s="200"/>
      <c r="D34" s="200"/>
      <c r="E34" s="200"/>
      <c r="F34" s="200"/>
      <c r="G34" s="200"/>
      <c r="H34" s="200"/>
    </row>
    <row r="35" spans="1:8">
      <c r="A35" s="200" t="str">
        <f>'11.F&amp;V Crop Production details'!A46</f>
        <v>Onion</v>
      </c>
      <c r="B35" s="200">
        <f>'11.F&amp;V Crop Production details'!B46</f>
        <v>0</v>
      </c>
      <c r="C35" s="200">
        <f>'11.F&amp;V Crop Production details'!C46</f>
        <v>0</v>
      </c>
      <c r="D35" s="200">
        <f>'11.F&amp;V Crop Production details'!D46</f>
        <v>0</v>
      </c>
      <c r="E35" s="200">
        <f>'11.F&amp;V Crop Production details'!E46</f>
        <v>0</v>
      </c>
      <c r="F35" s="200">
        <f>'11.F&amp;V Crop Production details'!F46</f>
        <v>0</v>
      </c>
      <c r="G35" s="200">
        <f>'11.F&amp;V Crop Production details'!G46</f>
        <v>0</v>
      </c>
      <c r="H35" s="200">
        <f>'11.F&amp;V Crop Production details'!H46</f>
        <v>0</v>
      </c>
    </row>
    <row r="36" spans="1:8">
      <c r="A36" s="200" t="str">
        <f>'11.F&amp;V Crop Production details'!A47</f>
        <v>Tomato</v>
      </c>
      <c r="B36" s="200">
        <f>'11.F&amp;V Crop Production details'!B47</f>
        <v>0</v>
      </c>
      <c r="C36" s="200">
        <f>'11.F&amp;V Crop Production details'!C47</f>
        <v>0</v>
      </c>
      <c r="D36" s="200">
        <f>'11.F&amp;V Crop Production details'!D47</f>
        <v>0</v>
      </c>
      <c r="E36" s="200">
        <f>'11.F&amp;V Crop Production details'!E47</f>
        <v>0</v>
      </c>
      <c r="F36" s="200">
        <f>'11.F&amp;V Crop Production details'!F47</f>
        <v>0</v>
      </c>
      <c r="G36" s="200">
        <f>'11.F&amp;V Crop Production details'!G47</f>
        <v>0</v>
      </c>
      <c r="H36" s="200">
        <f>'11.F&amp;V Crop Production details'!H47</f>
        <v>0</v>
      </c>
    </row>
    <row r="37" spans="1:8">
      <c r="A37" s="200" t="str">
        <f>'11.F&amp;V Crop Production details'!A48</f>
        <v>Okra</v>
      </c>
      <c r="B37" s="200">
        <f>'11.F&amp;V Crop Production details'!B48</f>
        <v>0</v>
      </c>
      <c r="C37" s="200">
        <f>'11.F&amp;V Crop Production details'!C48</f>
        <v>0</v>
      </c>
      <c r="D37" s="200">
        <f>'11.F&amp;V Crop Production details'!D48</f>
        <v>0</v>
      </c>
      <c r="E37" s="200">
        <f>'11.F&amp;V Crop Production details'!E48</f>
        <v>0</v>
      </c>
      <c r="F37" s="200">
        <f>'11.F&amp;V Crop Production details'!F48</f>
        <v>0</v>
      </c>
      <c r="G37" s="200">
        <f>'11.F&amp;V Crop Production details'!G48</f>
        <v>0</v>
      </c>
      <c r="H37" s="200">
        <f>'11.F&amp;V Crop Production details'!H48</f>
        <v>0</v>
      </c>
    </row>
    <row r="38" spans="1:8">
      <c r="A38" s="200" t="str">
        <f>'11.F&amp;V Crop Production details'!A49</f>
        <v>Chilli</v>
      </c>
      <c r="B38" s="200">
        <f>'11.F&amp;V Crop Production details'!B49</f>
        <v>0</v>
      </c>
      <c r="C38" s="200">
        <f>'11.F&amp;V Crop Production details'!C49</f>
        <v>0</v>
      </c>
      <c r="D38" s="200">
        <f>'11.F&amp;V Crop Production details'!D49</f>
        <v>0</v>
      </c>
      <c r="E38" s="200">
        <f>'11.F&amp;V Crop Production details'!E49</f>
        <v>0</v>
      </c>
      <c r="F38" s="200">
        <f>'11.F&amp;V Crop Production details'!F49</f>
        <v>0</v>
      </c>
      <c r="G38" s="200">
        <f>'11.F&amp;V Crop Production details'!G49</f>
        <v>0</v>
      </c>
      <c r="H38" s="200">
        <f>'11.F&amp;V Crop Production details'!H49</f>
        <v>0</v>
      </c>
    </row>
    <row r="39" spans="1:8">
      <c r="A39" s="200" t="str">
        <f>'11.F&amp;V Crop Production details'!A50</f>
        <v>Potato</v>
      </c>
      <c r="B39" s="200">
        <f>'11.F&amp;V Crop Production details'!B50</f>
        <v>0</v>
      </c>
      <c r="C39" s="200">
        <f>'11.F&amp;V Crop Production details'!C50</f>
        <v>0</v>
      </c>
      <c r="D39" s="200">
        <f>'11.F&amp;V Crop Production details'!D50</f>
        <v>0</v>
      </c>
      <c r="E39" s="200">
        <f>'11.F&amp;V Crop Production details'!E50</f>
        <v>0</v>
      </c>
      <c r="F39" s="200">
        <f>'11.F&amp;V Crop Production details'!F50</f>
        <v>0</v>
      </c>
      <c r="G39" s="200">
        <f>'11.F&amp;V Crop Production details'!G50</f>
        <v>0</v>
      </c>
      <c r="H39" s="200">
        <f>'11.F&amp;V Crop Production details'!H50</f>
        <v>0</v>
      </c>
    </row>
    <row r="40" spans="1:8">
      <c r="A40" s="200">
        <f>'11.F&amp;V Crop Production details'!A51</f>
        <v>0</v>
      </c>
      <c r="B40" s="200">
        <f>'11.F&amp;V Crop Production details'!B51</f>
        <v>0</v>
      </c>
      <c r="C40" s="200">
        <f>'11.F&amp;V Crop Production details'!C51</f>
        <v>0</v>
      </c>
      <c r="D40" s="200">
        <f>'11.F&amp;V Crop Production details'!D51</f>
        <v>0</v>
      </c>
      <c r="E40" s="200">
        <f>'11.F&amp;V Crop Production details'!E51</f>
        <v>0</v>
      </c>
      <c r="F40" s="200">
        <f>'11.F&amp;V Crop Production details'!F51</f>
        <v>0</v>
      </c>
      <c r="G40" s="200">
        <f>'11.F&amp;V Crop Production details'!G51</f>
        <v>0</v>
      </c>
      <c r="H40" s="200">
        <f>'11.F&amp;V Crop Production details'!H51</f>
        <v>0</v>
      </c>
    </row>
    <row r="41" spans="1:8">
      <c r="A41" s="200">
        <f>'11.F&amp;V Crop Production details'!A52</f>
        <v>0</v>
      </c>
      <c r="B41" s="200">
        <f>'11.F&amp;V Crop Production details'!B52</f>
        <v>0</v>
      </c>
      <c r="C41" s="200">
        <f>'11.F&amp;V Crop Production details'!C52</f>
        <v>0</v>
      </c>
      <c r="D41" s="200">
        <f>'11.F&amp;V Crop Production details'!D52</f>
        <v>0</v>
      </c>
      <c r="E41" s="200">
        <f>'11.F&amp;V Crop Production details'!E52</f>
        <v>0</v>
      </c>
      <c r="F41" s="200">
        <f>'11.F&amp;V Crop Production details'!F52</f>
        <v>0</v>
      </c>
      <c r="G41" s="200">
        <f>'11.F&amp;V Crop Production details'!G52</f>
        <v>0</v>
      </c>
      <c r="H41" s="200">
        <f>'11.F&amp;V Crop Production details'!H52</f>
        <v>0</v>
      </c>
    </row>
    <row r="42" spans="1:8">
      <c r="A42" s="200">
        <f>'11.F&amp;V Crop Production details'!A53</f>
        <v>0</v>
      </c>
      <c r="B42" s="200">
        <f>'11.F&amp;V Crop Production details'!B53</f>
        <v>0</v>
      </c>
      <c r="C42" s="200">
        <f>'11.F&amp;V Crop Production details'!C53</f>
        <v>0</v>
      </c>
      <c r="D42" s="200">
        <f>'11.F&amp;V Crop Production details'!D53</f>
        <v>0</v>
      </c>
      <c r="E42" s="200">
        <f>'11.F&amp;V Crop Production details'!E53</f>
        <v>0</v>
      </c>
      <c r="F42" s="200">
        <f>'11.F&amp;V Crop Production details'!F53</f>
        <v>0</v>
      </c>
      <c r="G42" s="200">
        <f>'11.F&amp;V Crop Production details'!G53</f>
        <v>0</v>
      </c>
      <c r="H42" s="200">
        <f>'11.F&amp;V Crop Production details'!H53</f>
        <v>0</v>
      </c>
    </row>
    <row r="43" spans="1:8">
      <c r="A43" s="200">
        <f>'11.F&amp;V Crop Production details'!A54</f>
        <v>0</v>
      </c>
      <c r="B43" s="200">
        <f>'11.F&amp;V Crop Production details'!B54</f>
        <v>0</v>
      </c>
      <c r="C43" s="200">
        <f>'11.F&amp;V Crop Production details'!C54</f>
        <v>0</v>
      </c>
      <c r="D43" s="200">
        <f>'11.F&amp;V Crop Production details'!D54</f>
        <v>0</v>
      </c>
      <c r="E43" s="200">
        <f>'11.F&amp;V Crop Production details'!E54</f>
        <v>0</v>
      </c>
      <c r="F43" s="200">
        <f>'11.F&amp;V Crop Production details'!F54</f>
        <v>0</v>
      </c>
      <c r="G43" s="200">
        <f>'11.F&amp;V Crop Production details'!G54</f>
        <v>0</v>
      </c>
      <c r="H43" s="200">
        <f>'11.F&amp;V Crop Production details'!H54</f>
        <v>0</v>
      </c>
    </row>
    <row r="44" spans="1:8">
      <c r="A44" s="200" t="str">
        <f>'11.F&amp;V Crop Production details'!A55</f>
        <v>Onion</v>
      </c>
      <c r="B44" s="200">
        <f>'11.F&amp;V Crop Production details'!B55</f>
        <v>0</v>
      </c>
      <c r="C44" s="200">
        <f>'11.F&amp;V Crop Production details'!C55</f>
        <v>0</v>
      </c>
      <c r="D44" s="200">
        <f>'11.F&amp;V Crop Production details'!D55</f>
        <v>0</v>
      </c>
      <c r="E44" s="200">
        <f>'11.F&amp;V Crop Production details'!E55</f>
        <v>0</v>
      </c>
      <c r="F44" s="200">
        <f>'11.F&amp;V Crop Production details'!F55</f>
        <v>0</v>
      </c>
      <c r="G44" s="200">
        <f>'11.F&amp;V Crop Production details'!G55</f>
        <v>0</v>
      </c>
      <c r="H44" s="200">
        <f>'11.F&amp;V Crop Production details'!H55</f>
        <v>0</v>
      </c>
    </row>
    <row r="45" spans="1:8">
      <c r="A45" s="200" t="str">
        <f>'11.F&amp;V Crop Production details'!A56</f>
        <v>Tomato</v>
      </c>
      <c r="B45" s="200">
        <f>'11.F&amp;V Crop Production details'!B56</f>
        <v>0</v>
      </c>
      <c r="C45" s="200">
        <f>'11.F&amp;V Crop Production details'!C56</f>
        <v>0</v>
      </c>
      <c r="D45" s="200">
        <f>'11.F&amp;V Crop Production details'!D56</f>
        <v>0</v>
      </c>
      <c r="E45" s="200">
        <f>'11.F&amp;V Crop Production details'!E56</f>
        <v>0</v>
      </c>
      <c r="F45" s="200">
        <f>'11.F&amp;V Crop Production details'!F56</f>
        <v>0</v>
      </c>
      <c r="G45" s="200">
        <f>'11.F&amp;V Crop Production details'!G56</f>
        <v>0</v>
      </c>
      <c r="H45" s="200">
        <f>'11.F&amp;V Crop Production details'!H56</f>
        <v>0</v>
      </c>
    </row>
    <row r="46" spans="1:8">
      <c r="A46" s="200" t="str">
        <f>'11.F&amp;V Crop Production details'!A57</f>
        <v>Okra</v>
      </c>
      <c r="B46" s="200">
        <f>'11.F&amp;V Crop Production details'!B57</f>
        <v>0</v>
      </c>
      <c r="C46" s="200">
        <f>'11.F&amp;V Crop Production details'!C57</f>
        <v>0</v>
      </c>
      <c r="D46" s="200">
        <f>'11.F&amp;V Crop Production details'!D57</f>
        <v>0</v>
      </c>
      <c r="E46" s="200">
        <f>'11.F&amp;V Crop Production details'!E57</f>
        <v>0</v>
      </c>
      <c r="F46" s="200">
        <f>'11.F&amp;V Crop Production details'!F57</f>
        <v>0</v>
      </c>
      <c r="G46" s="200">
        <f>'11.F&amp;V Crop Production details'!G57</f>
        <v>0</v>
      </c>
      <c r="H46" s="200">
        <f>'11.F&amp;V Crop Production details'!H57</f>
        <v>0</v>
      </c>
    </row>
    <row r="47" spans="1:8">
      <c r="A47" s="200" t="str">
        <f>'11.F&amp;V Crop Production details'!A58</f>
        <v>Chilli</v>
      </c>
      <c r="B47" s="200">
        <f>'11.F&amp;V Crop Production details'!B58</f>
        <v>0</v>
      </c>
      <c r="C47" s="200">
        <f>'11.F&amp;V Crop Production details'!C58</f>
        <v>0</v>
      </c>
      <c r="D47" s="200">
        <f>'11.F&amp;V Crop Production details'!D58</f>
        <v>0</v>
      </c>
      <c r="E47" s="200">
        <f>'11.F&amp;V Crop Production details'!E58</f>
        <v>0</v>
      </c>
      <c r="F47" s="200">
        <f>'11.F&amp;V Crop Production details'!F58</f>
        <v>0</v>
      </c>
      <c r="G47" s="200">
        <f>'11.F&amp;V Crop Production details'!G58</f>
        <v>0</v>
      </c>
      <c r="H47" s="200">
        <f>'11.F&amp;V Crop Production details'!H58</f>
        <v>0</v>
      </c>
    </row>
    <row r="48" spans="1:8">
      <c r="A48" s="200" t="str">
        <f>'11.F&amp;V Crop Production details'!A59</f>
        <v>Brinjal</v>
      </c>
      <c r="B48" s="200">
        <f>'11.F&amp;V Crop Production details'!B59</f>
        <v>0</v>
      </c>
      <c r="C48" s="200">
        <f>'11.F&amp;V Crop Production details'!C59</f>
        <v>0</v>
      </c>
      <c r="D48" s="200">
        <f>'11.F&amp;V Crop Production details'!D59</f>
        <v>0</v>
      </c>
      <c r="E48" s="200">
        <f>'11.F&amp;V Crop Production details'!E59</f>
        <v>0</v>
      </c>
      <c r="F48" s="200">
        <f>'11.F&amp;V Crop Production details'!F59</f>
        <v>0</v>
      </c>
      <c r="G48" s="200">
        <f>'11.F&amp;V Crop Production details'!G59</f>
        <v>0</v>
      </c>
      <c r="H48" s="200">
        <f>'11.F&amp;V Crop Production details'!H59</f>
        <v>0</v>
      </c>
    </row>
    <row r="49" spans="1:8">
      <c r="A49" s="200">
        <f>'11.F&amp;V Crop Production details'!A60</f>
        <v>0</v>
      </c>
      <c r="B49" s="200">
        <f>'11.F&amp;V Crop Production details'!B60</f>
        <v>0</v>
      </c>
      <c r="C49" s="200">
        <f>'11.F&amp;V Crop Production details'!C60</f>
        <v>0</v>
      </c>
      <c r="D49" s="200">
        <f>'11.F&amp;V Crop Production details'!D60</f>
        <v>0</v>
      </c>
      <c r="E49" s="200">
        <f>'11.F&amp;V Crop Production details'!E60</f>
        <v>0</v>
      </c>
      <c r="F49" s="200">
        <f>'11.F&amp;V Crop Production details'!F60</f>
        <v>0</v>
      </c>
      <c r="G49" s="200">
        <f>'11.F&amp;V Crop Production details'!G60</f>
        <v>0</v>
      </c>
      <c r="H49" s="200">
        <f>'11.F&amp;V Crop Production details'!H60</f>
        <v>0</v>
      </c>
    </row>
    <row r="50" spans="1:8">
      <c r="A50" s="200">
        <f>'11.F&amp;V Crop Production details'!A61</f>
        <v>0</v>
      </c>
      <c r="B50" s="200">
        <f>'11.F&amp;V Crop Production details'!B61</f>
        <v>0</v>
      </c>
      <c r="C50" s="200">
        <f>'11.F&amp;V Crop Production details'!C61</f>
        <v>0</v>
      </c>
      <c r="D50" s="200">
        <f>'11.F&amp;V Crop Production details'!D61</f>
        <v>0</v>
      </c>
      <c r="E50" s="200">
        <f>'11.F&amp;V Crop Production details'!E61</f>
        <v>0</v>
      </c>
      <c r="F50" s="200">
        <f>'11.F&amp;V Crop Production details'!F61</f>
        <v>0</v>
      </c>
      <c r="G50" s="200">
        <f>'11.F&amp;V Crop Production details'!G61</f>
        <v>0</v>
      </c>
      <c r="H50" s="200">
        <f>'11.F&amp;V Crop Production details'!H61</f>
        <v>0</v>
      </c>
    </row>
    <row r="51" spans="1:8">
      <c r="A51" s="200">
        <f>'11.F&amp;V Crop Production details'!A62</f>
        <v>0</v>
      </c>
      <c r="B51" s="200">
        <f>'11.F&amp;V Crop Production details'!B62</f>
        <v>0</v>
      </c>
      <c r="C51" s="200">
        <f>'11.F&amp;V Crop Production details'!C62</f>
        <v>0</v>
      </c>
      <c r="D51" s="200">
        <f>'11.F&amp;V Crop Production details'!D62</f>
        <v>0</v>
      </c>
      <c r="E51" s="200">
        <f>'11.F&amp;V Crop Production details'!E62</f>
        <v>0</v>
      </c>
      <c r="F51" s="200">
        <f>'11.F&amp;V Crop Production details'!F62</f>
        <v>0</v>
      </c>
      <c r="G51" s="200">
        <f>'11.F&amp;V Crop Production details'!G62</f>
        <v>0</v>
      </c>
      <c r="H51" s="200">
        <f>'11.F&amp;V Crop Production details'!H62</f>
        <v>0</v>
      </c>
    </row>
    <row r="52" spans="1:8">
      <c r="A52" s="200">
        <f>'11.F&amp;V Crop Production details'!A63</f>
        <v>0</v>
      </c>
      <c r="B52" s="200">
        <f>'11.F&amp;V Crop Production details'!B63</f>
        <v>0</v>
      </c>
      <c r="C52" s="200">
        <f>'11.F&amp;V Crop Production details'!C63</f>
        <v>0</v>
      </c>
      <c r="D52" s="200">
        <f>'11.F&amp;V Crop Production details'!D63</f>
        <v>0</v>
      </c>
      <c r="E52" s="200">
        <f>'11.F&amp;V Crop Production details'!E63</f>
        <v>0</v>
      </c>
      <c r="F52" s="200">
        <f>'11.F&amp;V Crop Production details'!F63</f>
        <v>0</v>
      </c>
      <c r="G52" s="200">
        <f>'11.F&amp;V Crop Production details'!G63</f>
        <v>0</v>
      </c>
      <c r="H52" s="200">
        <f>'11.F&amp;V Crop Production details'!H63</f>
        <v>0</v>
      </c>
    </row>
    <row r="53" spans="1:8">
      <c r="A53" s="200">
        <f>'11.F&amp;V Crop Production details'!A64</f>
        <v>0</v>
      </c>
      <c r="B53" s="200"/>
      <c r="C53" s="200"/>
      <c r="D53" s="200"/>
      <c r="E53" s="200"/>
      <c r="F53" s="200"/>
      <c r="G53" s="200"/>
      <c r="H53" s="200"/>
    </row>
    <row r="54" spans="1:8">
      <c r="A54" s="200">
        <f>'11.F&amp;V Crop Production details'!A65</f>
        <v>0</v>
      </c>
      <c r="B54" s="200"/>
      <c r="C54" s="200"/>
      <c r="D54" s="200"/>
      <c r="E54" s="200"/>
      <c r="F54" s="200"/>
      <c r="G54" s="200"/>
      <c r="H54" s="200"/>
    </row>
    <row r="55" spans="1:8">
      <c r="A55" s="200">
        <f>'11.F&amp;V Crop Production details'!A66</f>
        <v>0</v>
      </c>
      <c r="B55" s="200"/>
      <c r="C55" s="200"/>
      <c r="D55" s="200"/>
      <c r="E55" s="200"/>
      <c r="F55" s="200"/>
      <c r="G55" s="200"/>
      <c r="H55" s="200"/>
    </row>
    <row r="56" spans="1:8">
      <c r="A56" s="200" t="str">
        <f>'11.F&amp;V Crop Production details'!A67</f>
        <v>Pomegranate</v>
      </c>
      <c r="B56" s="200">
        <f>'11.F&amp;V Crop Production details'!B67</f>
        <v>0</v>
      </c>
      <c r="C56" s="200">
        <f>'11.F&amp;V Crop Production details'!C67</f>
        <v>0</v>
      </c>
      <c r="D56" s="200">
        <f>'11.F&amp;V Crop Production details'!D67</f>
        <v>0</v>
      </c>
      <c r="E56" s="200">
        <f>'11.F&amp;V Crop Production details'!E67</f>
        <v>0</v>
      </c>
      <c r="F56" s="200">
        <f>'11.F&amp;V Crop Production details'!F67</f>
        <v>0</v>
      </c>
      <c r="G56" s="200">
        <f>'11.F&amp;V Crop Production details'!G67</f>
        <v>0</v>
      </c>
      <c r="H56" s="200">
        <f>'11.F&amp;V Crop Production details'!H67</f>
        <v>0</v>
      </c>
    </row>
    <row r="57" spans="1:8">
      <c r="A57" s="200" t="str">
        <f>'11.F&amp;V Crop Production details'!A68</f>
        <v>Custard Apple</v>
      </c>
      <c r="B57" s="200">
        <f>'11.F&amp;V Crop Production details'!B68</f>
        <v>0</v>
      </c>
      <c r="C57" s="200">
        <f>'11.F&amp;V Crop Production details'!C68</f>
        <v>0</v>
      </c>
      <c r="D57" s="200">
        <f>'11.F&amp;V Crop Production details'!D68</f>
        <v>0</v>
      </c>
      <c r="E57" s="200">
        <f>'11.F&amp;V Crop Production details'!E68</f>
        <v>0</v>
      </c>
      <c r="F57" s="200">
        <f>'11.F&amp;V Crop Production details'!F68</f>
        <v>0</v>
      </c>
      <c r="G57" s="200">
        <f>'11.F&amp;V Crop Production details'!G68</f>
        <v>0</v>
      </c>
      <c r="H57" s="200">
        <f>'11.F&amp;V Crop Production details'!H68</f>
        <v>0</v>
      </c>
    </row>
    <row r="58" spans="1:8">
      <c r="A58" s="200" t="str">
        <f>'11.F&amp;V Crop Production details'!A69</f>
        <v>Guava</v>
      </c>
      <c r="B58" s="200">
        <f>'11.F&amp;V Crop Production details'!B69</f>
        <v>0</v>
      </c>
      <c r="C58" s="200">
        <f>'11.F&amp;V Crop Production details'!C69</f>
        <v>0</v>
      </c>
      <c r="D58" s="200">
        <f>'11.F&amp;V Crop Production details'!D69</f>
        <v>0</v>
      </c>
      <c r="E58" s="200">
        <f>'11.F&amp;V Crop Production details'!E69</f>
        <v>0</v>
      </c>
      <c r="F58" s="200">
        <f>'11.F&amp;V Crop Production details'!F69</f>
        <v>0</v>
      </c>
      <c r="G58" s="200">
        <f>'11.F&amp;V Crop Production details'!G69</f>
        <v>0</v>
      </c>
      <c r="H58" s="200">
        <f>'11.F&amp;V Crop Production details'!H69</f>
        <v>0</v>
      </c>
    </row>
    <row r="59" spans="1:8">
      <c r="A59" s="200" t="str">
        <f>'11.F&amp;V Crop Production details'!A70</f>
        <v>Citrus</v>
      </c>
      <c r="B59" s="200">
        <f>'11.F&amp;V Crop Production details'!B70</f>
        <v>0</v>
      </c>
      <c r="C59" s="200">
        <f>'11.F&amp;V Crop Production details'!C70</f>
        <v>0</v>
      </c>
      <c r="D59" s="200">
        <f>'11.F&amp;V Crop Production details'!D70</f>
        <v>0</v>
      </c>
      <c r="E59" s="200">
        <f>'11.F&amp;V Crop Production details'!E70</f>
        <v>0</v>
      </c>
      <c r="F59" s="200">
        <f>'11.F&amp;V Crop Production details'!F70</f>
        <v>0</v>
      </c>
      <c r="G59" s="200">
        <f>'11.F&amp;V Crop Production details'!G70</f>
        <v>0</v>
      </c>
      <c r="H59" s="200">
        <f>'11.F&amp;V Crop Production details'!H70</f>
        <v>0</v>
      </c>
    </row>
    <row r="60" spans="1:8">
      <c r="A60" s="200"/>
      <c r="B60" s="200"/>
      <c r="C60" s="200"/>
      <c r="D60" s="200"/>
      <c r="E60" s="200"/>
      <c r="F60" s="200"/>
      <c r="G60" s="200"/>
      <c r="H60" s="200"/>
    </row>
    <row r="61" spans="1:8">
      <c r="A61" s="96" t="s">
        <v>514</v>
      </c>
      <c r="B61" s="200">
        <f t="shared" ref="B61:H61" si="2">SUM(B35:B59)</f>
        <v>0</v>
      </c>
      <c r="C61" s="200">
        <f t="shared" si="2"/>
        <v>0</v>
      </c>
      <c r="D61" s="200">
        <f t="shared" si="2"/>
        <v>0</v>
      </c>
      <c r="E61" s="200">
        <f t="shared" si="2"/>
        <v>0</v>
      </c>
      <c r="F61" s="200">
        <f t="shared" si="2"/>
        <v>0</v>
      </c>
      <c r="G61" s="200">
        <f t="shared" si="2"/>
        <v>0</v>
      </c>
      <c r="H61" s="200">
        <f t="shared" si="2"/>
        <v>0</v>
      </c>
    </row>
    <row r="62" spans="1:8">
      <c r="A62" s="268" t="s">
        <v>516</v>
      </c>
      <c r="B62" s="287">
        <v>0.4</v>
      </c>
      <c r="C62" s="287">
        <v>0.4</v>
      </c>
      <c r="D62" s="287">
        <v>0.4</v>
      </c>
      <c r="E62" s="287">
        <v>0.4</v>
      </c>
      <c r="F62" s="287">
        <v>0.4</v>
      </c>
      <c r="G62" s="287">
        <v>0.4</v>
      </c>
      <c r="H62" s="287">
        <v>0.4</v>
      </c>
    </row>
    <row r="63" spans="1:8">
      <c r="A63" s="268" t="s">
        <v>517</v>
      </c>
      <c r="B63" s="287">
        <f t="shared" ref="B63:H63" si="3">1-B62</f>
        <v>0.6</v>
      </c>
      <c r="C63" s="287">
        <f t="shared" si="3"/>
        <v>0.6</v>
      </c>
      <c r="D63" s="287">
        <f t="shared" si="3"/>
        <v>0.6</v>
      </c>
      <c r="E63" s="287">
        <f t="shared" si="3"/>
        <v>0.6</v>
      </c>
      <c r="F63" s="287">
        <f t="shared" si="3"/>
        <v>0.6</v>
      </c>
      <c r="G63" s="287">
        <f t="shared" si="3"/>
        <v>0.6</v>
      </c>
      <c r="H63" s="287">
        <f t="shared" si="3"/>
        <v>0.6</v>
      </c>
    </row>
    <row r="64" spans="1:8">
      <c r="A64" s="268"/>
      <c r="B64" s="287"/>
      <c r="C64" s="287"/>
      <c r="D64" s="287"/>
      <c r="E64" s="287"/>
      <c r="F64" s="287"/>
      <c r="G64" s="287"/>
      <c r="H64" s="287"/>
    </row>
    <row r="65" spans="1:8">
      <c r="A65" s="268" t="s">
        <v>163</v>
      </c>
      <c r="B65" s="269">
        <f t="shared" ref="B65:H65" si="4">B33*B62</f>
        <v>2073.15</v>
      </c>
      <c r="C65" s="269">
        <f t="shared" si="4"/>
        <v>2418.6750000000006</v>
      </c>
      <c r="D65" s="269">
        <f t="shared" si="4"/>
        <v>2764.2</v>
      </c>
      <c r="E65" s="269">
        <f t="shared" si="4"/>
        <v>3109.7250000000004</v>
      </c>
      <c r="F65" s="269">
        <f t="shared" si="4"/>
        <v>3455.2499999999986</v>
      </c>
      <c r="G65" s="269">
        <f t="shared" si="4"/>
        <v>3800.7749999999987</v>
      </c>
      <c r="H65" s="269">
        <f t="shared" si="4"/>
        <v>4146.3</v>
      </c>
    </row>
    <row r="66" spans="1:8">
      <c r="A66" s="96"/>
      <c r="B66" s="200"/>
      <c r="C66" s="200"/>
      <c r="D66" s="200"/>
      <c r="E66" s="200"/>
      <c r="F66" s="200"/>
      <c r="G66" s="200"/>
      <c r="H66" s="200"/>
    </row>
    <row r="67" spans="1:8">
      <c r="A67" s="96" t="s">
        <v>164</v>
      </c>
      <c r="B67" s="200"/>
      <c r="C67" s="200"/>
      <c r="D67" s="200"/>
      <c r="E67" s="200"/>
      <c r="F67" s="200"/>
      <c r="G67" s="200"/>
      <c r="H67" s="200"/>
    </row>
    <row r="68" spans="1:8">
      <c r="A68" s="94" t="str">
        <f t="shared" ref="A68:A89" si="5">A11</f>
        <v>Soybean</v>
      </c>
      <c r="B68" s="285">
        <f t="shared" ref="B68:B89" si="6">B11*$B$63</f>
        <v>801.9</v>
      </c>
      <c r="C68" s="285">
        <f t="shared" ref="C68:C83" si="7">C11*$C$63</f>
        <v>935.55</v>
      </c>
      <c r="D68" s="285">
        <f t="shared" ref="D68:D83" si="8">D11*$D$63</f>
        <v>1069.1999999999998</v>
      </c>
      <c r="E68" s="285">
        <f t="shared" ref="E68:E83" si="9">E11*$E$63</f>
        <v>1202.8499999999999</v>
      </c>
      <c r="F68" s="285">
        <f t="shared" ref="F68:F83" si="10">F11*$F$63</f>
        <v>1336.4999999999998</v>
      </c>
      <c r="G68" s="285">
        <f t="shared" ref="G68:G83" si="11">G11*$G$63</f>
        <v>1470.1499999999996</v>
      </c>
      <c r="H68" s="285">
        <f t="shared" ref="H68:H83" si="12">H11*$H$63</f>
        <v>1603.8</v>
      </c>
    </row>
    <row r="69" spans="1:8">
      <c r="A69" s="94" t="str">
        <f t="shared" si="5"/>
        <v>Tur</v>
      </c>
      <c r="B69" s="285">
        <f t="shared" si="6"/>
        <v>85.5</v>
      </c>
      <c r="C69" s="285">
        <f t="shared" si="7"/>
        <v>99.75</v>
      </c>
      <c r="D69" s="285">
        <f t="shared" si="8"/>
        <v>114</v>
      </c>
      <c r="E69" s="285">
        <f t="shared" si="9"/>
        <v>128.25</v>
      </c>
      <c r="F69" s="285">
        <f t="shared" si="10"/>
        <v>142.5</v>
      </c>
      <c r="G69" s="285">
        <f t="shared" si="11"/>
        <v>156.75</v>
      </c>
      <c r="H69" s="285">
        <f t="shared" si="12"/>
        <v>171</v>
      </c>
    </row>
    <row r="70" spans="1:8">
      <c r="A70" s="94" t="str">
        <f t="shared" si="5"/>
        <v>Turmeric</v>
      </c>
      <c r="B70" s="285">
        <f t="shared" si="6"/>
        <v>935.55</v>
      </c>
      <c r="C70" s="285">
        <f t="shared" si="7"/>
        <v>1091.4749999999999</v>
      </c>
      <c r="D70" s="285">
        <f t="shared" si="8"/>
        <v>1247.3999999999999</v>
      </c>
      <c r="E70" s="285">
        <f t="shared" si="9"/>
        <v>1403.3249999999996</v>
      </c>
      <c r="F70" s="285">
        <f t="shared" si="10"/>
        <v>1559.2499999999993</v>
      </c>
      <c r="G70" s="285">
        <f t="shared" si="11"/>
        <v>1715.1749999999995</v>
      </c>
      <c r="H70" s="285">
        <f t="shared" si="12"/>
        <v>1871.0999999999997</v>
      </c>
    </row>
    <row r="71" spans="1:8">
      <c r="A71" s="94" t="str">
        <f t="shared" si="5"/>
        <v>Moong</v>
      </c>
      <c r="B71" s="285">
        <f t="shared" si="6"/>
        <v>62.37</v>
      </c>
      <c r="C71" s="285">
        <f t="shared" si="7"/>
        <v>72.764999999999986</v>
      </c>
      <c r="D71" s="285">
        <f t="shared" si="8"/>
        <v>83.16</v>
      </c>
      <c r="E71" s="285">
        <f t="shared" si="9"/>
        <v>93.554999999999993</v>
      </c>
      <c r="F71" s="285">
        <f t="shared" si="10"/>
        <v>103.94999999999997</v>
      </c>
      <c r="G71" s="285">
        <f t="shared" si="11"/>
        <v>114.34499999999998</v>
      </c>
      <c r="H71" s="285">
        <f t="shared" si="12"/>
        <v>124.74</v>
      </c>
    </row>
    <row r="72" spans="1:8">
      <c r="A72" s="94" t="str">
        <f t="shared" si="5"/>
        <v>Maize</v>
      </c>
      <c r="B72" s="285">
        <f t="shared" si="6"/>
        <v>0</v>
      </c>
      <c r="C72" s="285">
        <f t="shared" si="7"/>
        <v>0</v>
      </c>
      <c r="D72" s="285">
        <f t="shared" si="8"/>
        <v>0</v>
      </c>
      <c r="E72" s="285">
        <f t="shared" si="9"/>
        <v>0</v>
      </c>
      <c r="F72" s="285">
        <f t="shared" si="10"/>
        <v>0</v>
      </c>
      <c r="G72" s="285">
        <f t="shared" si="11"/>
        <v>0</v>
      </c>
      <c r="H72" s="285">
        <f t="shared" si="12"/>
        <v>0</v>
      </c>
    </row>
    <row r="73" spans="1:8">
      <c r="A73" s="94" t="str">
        <f t="shared" si="5"/>
        <v>Udid</v>
      </c>
      <c r="B73" s="285">
        <f t="shared" si="6"/>
        <v>71.28</v>
      </c>
      <c r="C73" s="285">
        <f t="shared" si="7"/>
        <v>83.16</v>
      </c>
      <c r="D73" s="285">
        <f t="shared" si="8"/>
        <v>95.039999999999978</v>
      </c>
      <c r="E73" s="285">
        <f t="shared" si="9"/>
        <v>106.91999999999999</v>
      </c>
      <c r="F73" s="285">
        <f t="shared" si="10"/>
        <v>118.79999999999998</v>
      </c>
      <c r="G73" s="285">
        <f t="shared" si="11"/>
        <v>130.67999999999998</v>
      </c>
      <c r="H73" s="285">
        <f t="shared" si="12"/>
        <v>142.56</v>
      </c>
    </row>
    <row r="74" spans="1:8">
      <c r="A74" s="94" t="str">
        <f t="shared" si="5"/>
        <v>Bajra</v>
      </c>
      <c r="B74" s="285">
        <f t="shared" si="6"/>
        <v>0</v>
      </c>
      <c r="C74" s="285">
        <f t="shared" si="7"/>
        <v>0</v>
      </c>
      <c r="D74" s="285">
        <f t="shared" si="8"/>
        <v>0</v>
      </c>
      <c r="E74" s="285">
        <f t="shared" si="9"/>
        <v>0</v>
      </c>
      <c r="F74" s="285">
        <f t="shared" si="10"/>
        <v>0</v>
      </c>
      <c r="G74" s="285">
        <f t="shared" si="11"/>
        <v>0</v>
      </c>
      <c r="H74" s="285">
        <f t="shared" si="12"/>
        <v>0</v>
      </c>
    </row>
    <row r="75" spans="1:8">
      <c r="A75" s="94" t="str">
        <f t="shared" si="5"/>
        <v>Jawar</v>
      </c>
      <c r="B75" s="285">
        <f t="shared" si="6"/>
        <v>87.3</v>
      </c>
      <c r="C75" s="285">
        <f t="shared" si="7"/>
        <v>101.85</v>
      </c>
      <c r="D75" s="285">
        <f t="shared" si="8"/>
        <v>116.39999999999999</v>
      </c>
      <c r="E75" s="285">
        <f t="shared" si="9"/>
        <v>130.94999999999999</v>
      </c>
      <c r="F75" s="285">
        <f t="shared" si="10"/>
        <v>145.5</v>
      </c>
      <c r="G75" s="285">
        <f t="shared" si="11"/>
        <v>160.04999999999998</v>
      </c>
      <c r="H75" s="285">
        <f t="shared" si="12"/>
        <v>174.6</v>
      </c>
    </row>
    <row r="76" spans="1:8">
      <c r="A76" s="94" t="str">
        <f t="shared" si="5"/>
        <v>Channa</v>
      </c>
      <c r="B76" s="285">
        <f t="shared" si="6"/>
        <v>0</v>
      </c>
      <c r="C76" s="285">
        <f t="shared" si="7"/>
        <v>0</v>
      </c>
      <c r="D76" s="285">
        <f t="shared" si="8"/>
        <v>0</v>
      </c>
      <c r="E76" s="285">
        <f t="shared" si="9"/>
        <v>0</v>
      </c>
      <c r="F76" s="285">
        <f t="shared" si="10"/>
        <v>0</v>
      </c>
      <c r="G76" s="285">
        <f t="shared" si="11"/>
        <v>0</v>
      </c>
      <c r="H76" s="285">
        <f t="shared" si="12"/>
        <v>0</v>
      </c>
    </row>
    <row r="77" spans="1:8">
      <c r="A77" s="94" t="str">
        <f t="shared" si="5"/>
        <v>Wheat</v>
      </c>
      <c r="B77" s="285">
        <f t="shared" si="6"/>
        <v>230.85</v>
      </c>
      <c r="C77" s="285">
        <f t="shared" si="7"/>
        <v>269.32499999999993</v>
      </c>
      <c r="D77" s="285">
        <f t="shared" si="8"/>
        <v>307.8</v>
      </c>
      <c r="E77" s="285">
        <f t="shared" si="9"/>
        <v>346.27499999999992</v>
      </c>
      <c r="F77" s="285">
        <f t="shared" si="10"/>
        <v>384.74999999999983</v>
      </c>
      <c r="G77" s="285">
        <f t="shared" si="11"/>
        <v>423.22499999999985</v>
      </c>
      <c r="H77" s="285">
        <f t="shared" si="12"/>
        <v>461.69999999999993</v>
      </c>
    </row>
    <row r="78" spans="1:8">
      <c r="A78" s="94" t="str">
        <f t="shared" si="5"/>
        <v>Channa</v>
      </c>
      <c r="B78" s="285">
        <f t="shared" si="6"/>
        <v>718.19999999999993</v>
      </c>
      <c r="C78" s="285">
        <f t="shared" si="7"/>
        <v>837.9</v>
      </c>
      <c r="D78" s="285">
        <f t="shared" si="8"/>
        <v>957.59999999999991</v>
      </c>
      <c r="E78" s="285">
        <f t="shared" si="9"/>
        <v>1077.3</v>
      </c>
      <c r="F78" s="285">
        <f t="shared" si="10"/>
        <v>1197</v>
      </c>
      <c r="G78" s="285">
        <f t="shared" si="11"/>
        <v>1316.7</v>
      </c>
      <c r="H78" s="285">
        <f t="shared" si="12"/>
        <v>1436.3999999999999</v>
      </c>
    </row>
    <row r="79" spans="1:8">
      <c r="A79" s="94" t="str">
        <f t="shared" si="5"/>
        <v>Jawar</v>
      </c>
      <c r="B79" s="285">
        <f t="shared" si="6"/>
        <v>83.808000000000007</v>
      </c>
      <c r="C79" s="285">
        <f t="shared" si="7"/>
        <v>97.775999999999996</v>
      </c>
      <c r="D79" s="285">
        <f t="shared" si="8"/>
        <v>111.744</v>
      </c>
      <c r="E79" s="285">
        <f t="shared" si="9"/>
        <v>125.712</v>
      </c>
      <c r="F79" s="285">
        <f t="shared" si="10"/>
        <v>139.68</v>
      </c>
      <c r="G79" s="285">
        <f t="shared" si="11"/>
        <v>153.64800000000002</v>
      </c>
      <c r="H79" s="285">
        <f t="shared" si="12"/>
        <v>167.61600000000004</v>
      </c>
    </row>
    <row r="80" spans="1:8">
      <c r="A80" s="94" t="str">
        <f t="shared" si="5"/>
        <v>Maize</v>
      </c>
      <c r="B80" s="285">
        <f t="shared" si="6"/>
        <v>0</v>
      </c>
      <c r="C80" s="285">
        <f t="shared" si="7"/>
        <v>0</v>
      </c>
      <c r="D80" s="285">
        <f t="shared" si="8"/>
        <v>0</v>
      </c>
      <c r="E80" s="285">
        <f t="shared" si="9"/>
        <v>0</v>
      </c>
      <c r="F80" s="285">
        <f t="shared" si="10"/>
        <v>0</v>
      </c>
      <c r="G80" s="285">
        <f t="shared" si="11"/>
        <v>0</v>
      </c>
      <c r="H80" s="285">
        <f t="shared" si="12"/>
        <v>0</v>
      </c>
    </row>
    <row r="81" spans="1:12">
      <c r="A81" s="94" t="str">
        <f t="shared" si="5"/>
        <v>Safflower</v>
      </c>
      <c r="B81" s="285">
        <f t="shared" si="6"/>
        <v>0</v>
      </c>
      <c r="C81" s="285">
        <f t="shared" si="7"/>
        <v>0</v>
      </c>
      <c r="D81" s="285">
        <f t="shared" si="8"/>
        <v>0</v>
      </c>
      <c r="E81" s="285">
        <f t="shared" si="9"/>
        <v>0</v>
      </c>
      <c r="F81" s="285">
        <f t="shared" si="10"/>
        <v>0</v>
      </c>
      <c r="G81" s="285">
        <f t="shared" si="11"/>
        <v>0</v>
      </c>
      <c r="H81" s="285">
        <f t="shared" si="12"/>
        <v>0</v>
      </c>
    </row>
    <row r="82" spans="1:12">
      <c r="A82" s="94" t="str">
        <f t="shared" si="5"/>
        <v>Groundnut</v>
      </c>
      <c r="B82" s="285">
        <f t="shared" si="6"/>
        <v>26.729999999999997</v>
      </c>
      <c r="C82" s="285">
        <f t="shared" si="7"/>
        <v>31.184999999999995</v>
      </c>
      <c r="D82" s="285">
        <f t="shared" si="8"/>
        <v>35.64</v>
      </c>
      <c r="E82" s="285">
        <f t="shared" si="9"/>
        <v>40.094999999999992</v>
      </c>
      <c r="F82" s="285">
        <f t="shared" si="10"/>
        <v>44.54999999999999</v>
      </c>
      <c r="G82" s="285">
        <f t="shared" si="11"/>
        <v>49.004999999999995</v>
      </c>
      <c r="H82" s="285">
        <f t="shared" si="12"/>
        <v>53.459999999999994</v>
      </c>
    </row>
    <row r="83" spans="1:12">
      <c r="A83" s="94">
        <f t="shared" si="5"/>
        <v>0</v>
      </c>
      <c r="B83" s="285">
        <f t="shared" si="6"/>
        <v>0</v>
      </c>
      <c r="C83" s="285">
        <f t="shared" si="7"/>
        <v>0</v>
      </c>
      <c r="D83" s="285">
        <f t="shared" si="8"/>
        <v>0</v>
      </c>
      <c r="E83" s="285">
        <f t="shared" si="9"/>
        <v>0</v>
      </c>
      <c r="F83" s="285">
        <f t="shared" si="10"/>
        <v>0</v>
      </c>
      <c r="G83" s="285">
        <f t="shared" si="11"/>
        <v>0</v>
      </c>
      <c r="H83" s="285">
        <f t="shared" si="12"/>
        <v>0</v>
      </c>
    </row>
    <row r="84" spans="1:12">
      <c r="A84" s="94">
        <f t="shared" si="5"/>
        <v>0</v>
      </c>
      <c r="B84" s="285">
        <f t="shared" si="6"/>
        <v>0</v>
      </c>
      <c r="C84" s="285">
        <f t="shared" ref="C84:H89" si="13">C27*$B$63</f>
        <v>0</v>
      </c>
      <c r="D84" s="285">
        <f t="shared" si="13"/>
        <v>0</v>
      </c>
      <c r="E84" s="285">
        <f t="shared" si="13"/>
        <v>0</v>
      </c>
      <c r="F84" s="285">
        <f t="shared" si="13"/>
        <v>0</v>
      </c>
      <c r="G84" s="285">
        <f t="shared" si="13"/>
        <v>0</v>
      </c>
      <c r="H84" s="285">
        <f t="shared" si="13"/>
        <v>0</v>
      </c>
    </row>
    <row r="85" spans="1:12">
      <c r="A85" s="94" t="str">
        <f t="shared" si="5"/>
        <v>Soybean</v>
      </c>
      <c r="B85" s="285">
        <f t="shared" si="6"/>
        <v>3.5640000000000001</v>
      </c>
      <c r="C85" s="285">
        <f t="shared" si="13"/>
        <v>4.1579999999999995</v>
      </c>
      <c r="D85" s="285">
        <f t="shared" si="13"/>
        <v>4.7519999999999998</v>
      </c>
      <c r="E85" s="285">
        <f t="shared" si="13"/>
        <v>5.3460000000000001</v>
      </c>
      <c r="F85" s="285">
        <f t="shared" si="13"/>
        <v>5.9399999999999986</v>
      </c>
      <c r="G85" s="285">
        <f t="shared" si="13"/>
        <v>6.5339999999999989</v>
      </c>
      <c r="H85" s="285">
        <f t="shared" si="13"/>
        <v>7.1280000000000001</v>
      </c>
    </row>
    <row r="86" spans="1:12">
      <c r="A86" s="94" t="str">
        <f t="shared" si="5"/>
        <v>Paddy</v>
      </c>
      <c r="B86" s="285">
        <f t="shared" si="6"/>
        <v>2.673</v>
      </c>
      <c r="C86" s="285">
        <f t="shared" si="13"/>
        <v>3.1184999999999996</v>
      </c>
      <c r="D86" s="285">
        <f t="shared" si="13"/>
        <v>3.5639999999999996</v>
      </c>
      <c r="E86" s="285">
        <f t="shared" si="13"/>
        <v>4.0094999999999992</v>
      </c>
      <c r="F86" s="285">
        <f t="shared" si="13"/>
        <v>4.4549999999999992</v>
      </c>
      <c r="G86" s="285">
        <f t="shared" si="13"/>
        <v>4.9004999999999992</v>
      </c>
      <c r="H86" s="285">
        <f t="shared" si="13"/>
        <v>5.3460000000000001</v>
      </c>
    </row>
    <row r="87" spans="1:12">
      <c r="A87" s="94">
        <f t="shared" si="5"/>
        <v>0</v>
      </c>
      <c r="B87" s="285">
        <f t="shared" si="6"/>
        <v>0</v>
      </c>
      <c r="C87" s="285">
        <f t="shared" si="13"/>
        <v>0</v>
      </c>
      <c r="D87" s="285">
        <f t="shared" si="13"/>
        <v>0</v>
      </c>
      <c r="E87" s="285">
        <f t="shared" si="13"/>
        <v>0</v>
      </c>
      <c r="F87" s="285">
        <f t="shared" si="13"/>
        <v>0</v>
      </c>
      <c r="G87" s="285">
        <f t="shared" si="13"/>
        <v>0</v>
      </c>
      <c r="H87" s="285">
        <f t="shared" si="13"/>
        <v>0</v>
      </c>
    </row>
    <row r="88" spans="1:12">
      <c r="A88" s="94">
        <f t="shared" si="5"/>
        <v>0</v>
      </c>
      <c r="B88" s="285">
        <f t="shared" si="6"/>
        <v>0</v>
      </c>
      <c r="C88" s="285">
        <f t="shared" si="13"/>
        <v>0</v>
      </c>
      <c r="D88" s="285">
        <f t="shared" si="13"/>
        <v>0</v>
      </c>
      <c r="E88" s="285">
        <f t="shared" si="13"/>
        <v>0</v>
      </c>
      <c r="F88" s="285">
        <f t="shared" si="13"/>
        <v>0</v>
      </c>
      <c r="G88" s="285">
        <f t="shared" si="13"/>
        <v>0</v>
      </c>
      <c r="H88" s="285">
        <f t="shared" si="13"/>
        <v>0</v>
      </c>
    </row>
    <row r="89" spans="1:12">
      <c r="A89" s="94">
        <f t="shared" si="5"/>
        <v>0</v>
      </c>
      <c r="B89" s="285">
        <f t="shared" si="6"/>
        <v>0</v>
      </c>
      <c r="C89" s="285">
        <f t="shared" si="13"/>
        <v>0</v>
      </c>
      <c r="D89" s="285">
        <f t="shared" si="13"/>
        <v>0</v>
      </c>
      <c r="E89" s="285">
        <f t="shared" si="13"/>
        <v>0</v>
      </c>
      <c r="F89" s="285">
        <f t="shared" si="13"/>
        <v>0</v>
      </c>
      <c r="G89" s="285">
        <f t="shared" si="13"/>
        <v>0</v>
      </c>
      <c r="H89" s="285">
        <f t="shared" si="13"/>
        <v>0</v>
      </c>
    </row>
    <row r="90" spans="1:12">
      <c r="A90" s="94"/>
      <c r="B90" s="285"/>
      <c r="C90" s="285"/>
      <c r="D90" s="285"/>
      <c r="E90" s="285"/>
      <c r="F90" s="285"/>
      <c r="G90" s="285"/>
      <c r="H90" s="285"/>
      <c r="J90" s="307"/>
      <c r="K90" s="307"/>
      <c r="L90" s="307"/>
    </row>
    <row r="91" spans="1:12">
      <c r="A91" s="94" t="str">
        <f t="shared" ref="A91:A109" si="14">A34</f>
        <v>Fruit  &amp; Vegetables Crop Production Details</v>
      </c>
      <c r="B91" s="285"/>
      <c r="C91" s="285"/>
      <c r="D91" s="285"/>
      <c r="E91" s="285"/>
      <c r="F91" s="285"/>
      <c r="G91" s="285"/>
      <c r="H91" s="285"/>
      <c r="J91" s="307"/>
      <c r="K91" s="307"/>
      <c r="L91" s="307"/>
    </row>
    <row r="92" spans="1:12">
      <c r="A92" s="94" t="str">
        <f t="shared" si="14"/>
        <v>Onion</v>
      </c>
      <c r="B92" s="285">
        <f t="shared" ref="B92:H101" si="15">B35</f>
        <v>0</v>
      </c>
      <c r="C92" s="285">
        <f t="shared" si="15"/>
        <v>0</v>
      </c>
      <c r="D92" s="285">
        <f t="shared" si="15"/>
        <v>0</v>
      </c>
      <c r="E92" s="285">
        <f t="shared" si="15"/>
        <v>0</v>
      </c>
      <c r="F92" s="285">
        <f t="shared" si="15"/>
        <v>0</v>
      </c>
      <c r="G92" s="285">
        <f t="shared" si="15"/>
        <v>0</v>
      </c>
      <c r="H92" s="285">
        <f t="shared" si="15"/>
        <v>0</v>
      </c>
      <c r="J92" s="307"/>
      <c r="K92" s="307"/>
      <c r="L92" s="307"/>
    </row>
    <row r="93" spans="1:12">
      <c r="A93" s="94" t="str">
        <f t="shared" si="14"/>
        <v>Tomato</v>
      </c>
      <c r="B93" s="285">
        <f t="shared" si="15"/>
        <v>0</v>
      </c>
      <c r="C93" s="285">
        <f t="shared" si="15"/>
        <v>0</v>
      </c>
      <c r="D93" s="285">
        <f t="shared" si="15"/>
        <v>0</v>
      </c>
      <c r="E93" s="285">
        <f t="shared" si="15"/>
        <v>0</v>
      </c>
      <c r="F93" s="285">
        <f t="shared" si="15"/>
        <v>0</v>
      </c>
      <c r="G93" s="285">
        <f t="shared" si="15"/>
        <v>0</v>
      </c>
      <c r="H93" s="285">
        <f t="shared" si="15"/>
        <v>0</v>
      </c>
      <c r="J93" s="307"/>
      <c r="K93" s="307"/>
      <c r="L93" s="307"/>
    </row>
    <row r="94" spans="1:12">
      <c r="A94" s="94" t="str">
        <f t="shared" si="14"/>
        <v>Okra</v>
      </c>
      <c r="B94" s="285">
        <f t="shared" si="15"/>
        <v>0</v>
      </c>
      <c r="C94" s="285">
        <f t="shared" si="15"/>
        <v>0</v>
      </c>
      <c r="D94" s="285">
        <f t="shared" si="15"/>
        <v>0</v>
      </c>
      <c r="E94" s="285">
        <f t="shared" si="15"/>
        <v>0</v>
      </c>
      <c r="F94" s="285">
        <f t="shared" si="15"/>
        <v>0</v>
      </c>
      <c r="G94" s="285">
        <f t="shared" si="15"/>
        <v>0</v>
      </c>
      <c r="H94" s="285">
        <f t="shared" si="15"/>
        <v>0</v>
      </c>
      <c r="J94" s="307"/>
      <c r="K94" s="307"/>
      <c r="L94" s="307"/>
    </row>
    <row r="95" spans="1:12">
      <c r="A95" s="94" t="str">
        <f t="shared" si="14"/>
        <v>Chilli</v>
      </c>
      <c r="B95" s="285">
        <f t="shared" si="15"/>
        <v>0</v>
      </c>
      <c r="C95" s="285">
        <f t="shared" si="15"/>
        <v>0</v>
      </c>
      <c r="D95" s="285">
        <f t="shared" si="15"/>
        <v>0</v>
      </c>
      <c r="E95" s="285">
        <f t="shared" si="15"/>
        <v>0</v>
      </c>
      <c r="F95" s="285">
        <f t="shared" si="15"/>
        <v>0</v>
      </c>
      <c r="G95" s="285">
        <f t="shared" si="15"/>
        <v>0</v>
      </c>
      <c r="H95" s="285">
        <f t="shared" si="15"/>
        <v>0</v>
      </c>
      <c r="J95" s="307"/>
      <c r="K95" s="307"/>
      <c r="L95" s="307"/>
    </row>
    <row r="96" spans="1:12">
      <c r="A96" s="94" t="str">
        <f t="shared" si="14"/>
        <v>Potato</v>
      </c>
      <c r="B96" s="285">
        <f t="shared" si="15"/>
        <v>0</v>
      </c>
      <c r="C96" s="285">
        <f t="shared" si="15"/>
        <v>0</v>
      </c>
      <c r="D96" s="285">
        <f t="shared" si="15"/>
        <v>0</v>
      </c>
      <c r="E96" s="285">
        <f t="shared" si="15"/>
        <v>0</v>
      </c>
      <c r="F96" s="285">
        <f t="shared" si="15"/>
        <v>0</v>
      </c>
      <c r="G96" s="285">
        <f t="shared" si="15"/>
        <v>0</v>
      </c>
      <c r="H96" s="285">
        <f t="shared" si="15"/>
        <v>0</v>
      </c>
      <c r="J96" s="307"/>
      <c r="K96" s="307"/>
      <c r="L96" s="307"/>
    </row>
    <row r="97" spans="1:12">
      <c r="A97" s="94">
        <f t="shared" si="14"/>
        <v>0</v>
      </c>
      <c r="B97" s="285">
        <f t="shared" si="15"/>
        <v>0</v>
      </c>
      <c r="C97" s="285">
        <f t="shared" si="15"/>
        <v>0</v>
      </c>
      <c r="D97" s="285">
        <f t="shared" si="15"/>
        <v>0</v>
      </c>
      <c r="E97" s="285">
        <f t="shared" si="15"/>
        <v>0</v>
      </c>
      <c r="F97" s="285">
        <f t="shared" si="15"/>
        <v>0</v>
      </c>
      <c r="G97" s="285">
        <f t="shared" si="15"/>
        <v>0</v>
      </c>
      <c r="H97" s="285">
        <f t="shared" si="15"/>
        <v>0</v>
      </c>
      <c r="J97" s="307"/>
      <c r="K97" s="307"/>
      <c r="L97" s="307"/>
    </row>
    <row r="98" spans="1:12">
      <c r="A98" s="94">
        <f t="shared" si="14"/>
        <v>0</v>
      </c>
      <c r="B98" s="285">
        <f t="shared" si="15"/>
        <v>0</v>
      </c>
      <c r="C98" s="285">
        <f t="shared" si="15"/>
        <v>0</v>
      </c>
      <c r="D98" s="285">
        <f t="shared" si="15"/>
        <v>0</v>
      </c>
      <c r="E98" s="285">
        <f t="shared" si="15"/>
        <v>0</v>
      </c>
      <c r="F98" s="285">
        <f t="shared" si="15"/>
        <v>0</v>
      </c>
      <c r="G98" s="285">
        <f t="shared" si="15"/>
        <v>0</v>
      </c>
      <c r="H98" s="285">
        <f t="shared" si="15"/>
        <v>0</v>
      </c>
      <c r="J98" s="307"/>
      <c r="K98" s="307"/>
      <c r="L98" s="307"/>
    </row>
    <row r="99" spans="1:12">
      <c r="A99" s="94">
        <f t="shared" si="14"/>
        <v>0</v>
      </c>
      <c r="B99" s="285">
        <f t="shared" si="15"/>
        <v>0</v>
      </c>
      <c r="C99" s="285">
        <f t="shared" si="15"/>
        <v>0</v>
      </c>
      <c r="D99" s="285">
        <f t="shared" si="15"/>
        <v>0</v>
      </c>
      <c r="E99" s="285">
        <f t="shared" si="15"/>
        <v>0</v>
      </c>
      <c r="F99" s="285">
        <f t="shared" si="15"/>
        <v>0</v>
      </c>
      <c r="G99" s="285">
        <f t="shared" si="15"/>
        <v>0</v>
      </c>
      <c r="H99" s="285">
        <f t="shared" si="15"/>
        <v>0</v>
      </c>
      <c r="J99" s="307"/>
      <c r="K99" s="307"/>
      <c r="L99" s="307"/>
    </row>
    <row r="100" spans="1:12">
      <c r="A100" s="94">
        <f t="shared" si="14"/>
        <v>0</v>
      </c>
      <c r="B100" s="285">
        <f t="shared" si="15"/>
        <v>0</v>
      </c>
      <c r="C100" s="285">
        <f t="shared" si="15"/>
        <v>0</v>
      </c>
      <c r="D100" s="285">
        <f t="shared" si="15"/>
        <v>0</v>
      </c>
      <c r="E100" s="285">
        <f t="shared" si="15"/>
        <v>0</v>
      </c>
      <c r="F100" s="285">
        <f t="shared" si="15"/>
        <v>0</v>
      </c>
      <c r="G100" s="285">
        <f t="shared" si="15"/>
        <v>0</v>
      </c>
      <c r="H100" s="285">
        <f t="shared" si="15"/>
        <v>0</v>
      </c>
      <c r="J100" s="307"/>
      <c r="K100" s="307"/>
      <c r="L100" s="307"/>
    </row>
    <row r="101" spans="1:12">
      <c r="A101" s="94" t="str">
        <f t="shared" si="14"/>
        <v>Onion</v>
      </c>
      <c r="B101" s="285">
        <f t="shared" si="15"/>
        <v>0</v>
      </c>
      <c r="C101" s="285">
        <f t="shared" si="15"/>
        <v>0</v>
      </c>
      <c r="D101" s="285">
        <f t="shared" si="15"/>
        <v>0</v>
      </c>
      <c r="E101" s="285">
        <f t="shared" si="15"/>
        <v>0</v>
      </c>
      <c r="F101" s="285">
        <f t="shared" si="15"/>
        <v>0</v>
      </c>
      <c r="G101" s="285">
        <f t="shared" si="15"/>
        <v>0</v>
      </c>
      <c r="H101" s="285">
        <f t="shared" si="15"/>
        <v>0</v>
      </c>
      <c r="J101" s="307"/>
      <c r="K101" s="307"/>
      <c r="L101" s="307"/>
    </row>
    <row r="102" spans="1:12">
      <c r="A102" s="94" t="str">
        <f t="shared" si="14"/>
        <v>Tomato</v>
      </c>
      <c r="B102" s="285">
        <f t="shared" ref="B102:H109" si="16">B45</f>
        <v>0</v>
      </c>
      <c r="C102" s="285">
        <f t="shared" si="16"/>
        <v>0</v>
      </c>
      <c r="D102" s="285">
        <f t="shared" si="16"/>
        <v>0</v>
      </c>
      <c r="E102" s="285">
        <f t="shared" si="16"/>
        <v>0</v>
      </c>
      <c r="F102" s="285">
        <f t="shared" si="16"/>
        <v>0</v>
      </c>
      <c r="G102" s="285">
        <f t="shared" si="16"/>
        <v>0</v>
      </c>
      <c r="H102" s="285">
        <f t="shared" si="16"/>
        <v>0</v>
      </c>
      <c r="J102" s="307"/>
      <c r="K102" s="307"/>
      <c r="L102" s="307"/>
    </row>
    <row r="103" spans="1:12">
      <c r="A103" s="94" t="str">
        <f t="shared" si="14"/>
        <v>Okra</v>
      </c>
      <c r="B103" s="285">
        <f t="shared" si="16"/>
        <v>0</v>
      </c>
      <c r="C103" s="285">
        <f t="shared" si="16"/>
        <v>0</v>
      </c>
      <c r="D103" s="285">
        <f t="shared" si="16"/>
        <v>0</v>
      </c>
      <c r="E103" s="285">
        <f t="shared" si="16"/>
        <v>0</v>
      </c>
      <c r="F103" s="285">
        <f t="shared" si="16"/>
        <v>0</v>
      </c>
      <c r="G103" s="285">
        <f t="shared" si="16"/>
        <v>0</v>
      </c>
      <c r="H103" s="285">
        <f t="shared" si="16"/>
        <v>0</v>
      </c>
      <c r="J103" s="307"/>
      <c r="K103" s="307"/>
      <c r="L103" s="307"/>
    </row>
    <row r="104" spans="1:12">
      <c r="A104" s="94" t="str">
        <f t="shared" si="14"/>
        <v>Chilli</v>
      </c>
      <c r="B104" s="285">
        <f t="shared" si="16"/>
        <v>0</v>
      </c>
      <c r="C104" s="285">
        <f t="shared" si="16"/>
        <v>0</v>
      </c>
      <c r="D104" s="285">
        <f t="shared" si="16"/>
        <v>0</v>
      </c>
      <c r="E104" s="285">
        <f t="shared" si="16"/>
        <v>0</v>
      </c>
      <c r="F104" s="285">
        <f t="shared" si="16"/>
        <v>0</v>
      </c>
      <c r="G104" s="285">
        <f t="shared" si="16"/>
        <v>0</v>
      </c>
      <c r="H104" s="285">
        <f t="shared" si="16"/>
        <v>0</v>
      </c>
      <c r="J104" s="307"/>
      <c r="K104" s="307"/>
      <c r="L104" s="307"/>
    </row>
    <row r="105" spans="1:12">
      <c r="A105" s="94" t="str">
        <f t="shared" si="14"/>
        <v>Brinjal</v>
      </c>
      <c r="B105" s="285">
        <f t="shared" si="16"/>
        <v>0</v>
      </c>
      <c r="C105" s="285">
        <f t="shared" si="16"/>
        <v>0</v>
      </c>
      <c r="D105" s="285">
        <f t="shared" si="16"/>
        <v>0</v>
      </c>
      <c r="E105" s="285">
        <f t="shared" si="16"/>
        <v>0</v>
      </c>
      <c r="F105" s="285">
        <f t="shared" si="16"/>
        <v>0</v>
      </c>
      <c r="G105" s="285">
        <f t="shared" si="16"/>
        <v>0</v>
      </c>
      <c r="H105" s="285">
        <f t="shared" si="16"/>
        <v>0</v>
      </c>
      <c r="J105" s="307"/>
      <c r="K105" s="307"/>
      <c r="L105" s="307"/>
    </row>
    <row r="106" spans="1:12">
      <c r="A106" s="94">
        <f t="shared" si="14"/>
        <v>0</v>
      </c>
      <c r="B106" s="285">
        <f t="shared" si="16"/>
        <v>0</v>
      </c>
      <c r="C106" s="285">
        <f t="shared" si="16"/>
        <v>0</v>
      </c>
      <c r="D106" s="285">
        <f t="shared" si="16"/>
        <v>0</v>
      </c>
      <c r="E106" s="285">
        <f t="shared" si="16"/>
        <v>0</v>
      </c>
      <c r="F106" s="285">
        <f t="shared" si="16"/>
        <v>0</v>
      </c>
      <c r="G106" s="285">
        <f t="shared" si="16"/>
        <v>0</v>
      </c>
      <c r="H106" s="285">
        <f t="shared" si="16"/>
        <v>0</v>
      </c>
      <c r="J106" s="307"/>
      <c r="K106" s="307"/>
      <c r="L106" s="307"/>
    </row>
    <row r="107" spans="1:12">
      <c r="A107" s="94">
        <f t="shared" si="14"/>
        <v>0</v>
      </c>
      <c r="B107" s="285">
        <f t="shared" si="16"/>
        <v>0</v>
      </c>
      <c r="C107" s="285">
        <f t="shared" si="16"/>
        <v>0</v>
      </c>
      <c r="D107" s="285">
        <f t="shared" si="16"/>
        <v>0</v>
      </c>
      <c r="E107" s="285">
        <f t="shared" si="16"/>
        <v>0</v>
      </c>
      <c r="F107" s="285">
        <f t="shared" si="16"/>
        <v>0</v>
      </c>
      <c r="G107" s="285">
        <f t="shared" si="16"/>
        <v>0</v>
      </c>
      <c r="H107" s="285">
        <f t="shared" si="16"/>
        <v>0</v>
      </c>
      <c r="J107" s="307"/>
      <c r="K107" s="307"/>
      <c r="L107" s="307"/>
    </row>
    <row r="108" spans="1:12">
      <c r="A108" s="94">
        <f t="shared" si="14"/>
        <v>0</v>
      </c>
      <c r="B108" s="285">
        <f t="shared" si="16"/>
        <v>0</v>
      </c>
      <c r="C108" s="285">
        <f t="shared" si="16"/>
        <v>0</v>
      </c>
      <c r="D108" s="285">
        <f t="shared" si="16"/>
        <v>0</v>
      </c>
      <c r="E108" s="285">
        <f t="shared" si="16"/>
        <v>0</v>
      </c>
      <c r="F108" s="285">
        <f t="shared" si="16"/>
        <v>0</v>
      </c>
      <c r="G108" s="285">
        <f t="shared" si="16"/>
        <v>0</v>
      </c>
      <c r="H108" s="285">
        <f t="shared" si="16"/>
        <v>0</v>
      </c>
      <c r="J108" s="307"/>
      <c r="K108" s="307"/>
      <c r="L108" s="307"/>
    </row>
    <row r="109" spans="1:12">
      <c r="A109" s="94">
        <f t="shared" si="14"/>
        <v>0</v>
      </c>
      <c r="B109" s="285">
        <f t="shared" si="16"/>
        <v>0</v>
      </c>
      <c r="C109" s="285">
        <f t="shared" si="16"/>
        <v>0</v>
      </c>
      <c r="D109" s="285">
        <f t="shared" si="16"/>
        <v>0</v>
      </c>
      <c r="E109" s="285">
        <f t="shared" si="16"/>
        <v>0</v>
      </c>
      <c r="F109" s="285">
        <f t="shared" si="16"/>
        <v>0</v>
      </c>
      <c r="G109" s="285">
        <f t="shared" si="16"/>
        <v>0</v>
      </c>
      <c r="H109" s="285">
        <f t="shared" si="16"/>
        <v>0</v>
      </c>
      <c r="J109" s="307"/>
      <c r="K109" s="307"/>
      <c r="L109" s="307"/>
    </row>
    <row r="110" spans="1:12">
      <c r="A110" s="94">
        <f t="shared" ref="A110:A113" si="17">A53</f>
        <v>0</v>
      </c>
      <c r="B110" s="285"/>
      <c r="C110" s="285"/>
      <c r="D110" s="285"/>
      <c r="E110" s="285"/>
      <c r="F110" s="285"/>
      <c r="G110" s="285"/>
      <c r="H110" s="285"/>
      <c r="J110" s="307"/>
      <c r="K110" s="307"/>
      <c r="L110" s="307"/>
    </row>
    <row r="111" spans="1:12">
      <c r="A111" s="94">
        <f t="shared" si="17"/>
        <v>0</v>
      </c>
      <c r="B111" s="285"/>
      <c r="C111" s="285"/>
      <c r="D111" s="285"/>
      <c r="E111" s="285"/>
      <c r="F111" s="285"/>
      <c r="G111" s="285"/>
      <c r="H111" s="285"/>
      <c r="J111" s="307"/>
      <c r="K111" s="307"/>
      <c r="L111" s="307"/>
    </row>
    <row r="112" spans="1:12">
      <c r="A112" s="94">
        <f t="shared" si="17"/>
        <v>0</v>
      </c>
      <c r="B112" s="285"/>
      <c r="C112" s="285"/>
      <c r="D112" s="285"/>
      <c r="E112" s="285"/>
      <c r="F112" s="285"/>
      <c r="G112" s="285"/>
      <c r="H112" s="285"/>
      <c r="J112" s="307"/>
      <c r="K112" s="307"/>
      <c r="L112" s="307"/>
    </row>
    <row r="113" spans="1:12">
      <c r="A113" s="94" t="str">
        <f t="shared" si="17"/>
        <v>Pomegranate</v>
      </c>
      <c r="B113" s="285">
        <f t="shared" ref="B113:H116" si="18">B56</f>
        <v>0</v>
      </c>
      <c r="C113" s="285">
        <f t="shared" si="18"/>
        <v>0</v>
      </c>
      <c r="D113" s="285">
        <f t="shared" si="18"/>
        <v>0</v>
      </c>
      <c r="E113" s="285">
        <f t="shared" si="18"/>
        <v>0</v>
      </c>
      <c r="F113" s="285">
        <f t="shared" si="18"/>
        <v>0</v>
      </c>
      <c r="G113" s="285">
        <f t="shared" si="18"/>
        <v>0</v>
      </c>
      <c r="H113" s="285">
        <f t="shared" si="18"/>
        <v>0</v>
      </c>
      <c r="J113" s="307"/>
      <c r="K113" s="307"/>
      <c r="L113" s="307"/>
    </row>
    <row r="114" spans="1:12">
      <c r="A114" s="94" t="str">
        <f>A57</f>
        <v>Custard Apple</v>
      </c>
      <c r="B114" s="285">
        <f t="shared" si="18"/>
        <v>0</v>
      </c>
      <c r="C114" s="285">
        <f t="shared" si="18"/>
        <v>0</v>
      </c>
      <c r="D114" s="285">
        <f t="shared" si="18"/>
        <v>0</v>
      </c>
      <c r="E114" s="285">
        <f t="shared" si="18"/>
        <v>0</v>
      </c>
      <c r="F114" s="285">
        <f t="shared" si="18"/>
        <v>0</v>
      </c>
      <c r="G114" s="285">
        <f t="shared" si="18"/>
        <v>0</v>
      </c>
      <c r="H114" s="285">
        <f t="shared" si="18"/>
        <v>0</v>
      </c>
      <c r="J114" s="307"/>
      <c r="K114" s="307"/>
      <c r="L114" s="307"/>
    </row>
    <row r="115" spans="1:12">
      <c r="A115" s="94" t="str">
        <f>A58</f>
        <v>Guava</v>
      </c>
      <c r="B115" s="285">
        <f t="shared" si="18"/>
        <v>0</v>
      </c>
      <c r="C115" s="285">
        <f t="shared" si="18"/>
        <v>0</v>
      </c>
      <c r="D115" s="285">
        <f t="shared" si="18"/>
        <v>0</v>
      </c>
      <c r="E115" s="285">
        <f t="shared" si="18"/>
        <v>0</v>
      </c>
      <c r="F115" s="285">
        <f t="shared" si="18"/>
        <v>0</v>
      </c>
      <c r="G115" s="285">
        <f t="shared" si="18"/>
        <v>0</v>
      </c>
      <c r="H115" s="285">
        <f t="shared" si="18"/>
        <v>0</v>
      </c>
      <c r="J115" s="307"/>
      <c r="K115" s="307"/>
      <c r="L115" s="307"/>
    </row>
    <row r="116" spans="1:12">
      <c r="A116" s="94" t="str">
        <f>A59</f>
        <v>Citrus</v>
      </c>
      <c r="B116" s="285">
        <f t="shared" si="18"/>
        <v>0</v>
      </c>
      <c r="C116" s="285">
        <f t="shared" si="18"/>
        <v>0</v>
      </c>
      <c r="D116" s="285">
        <f t="shared" si="18"/>
        <v>0</v>
      </c>
      <c r="E116" s="285">
        <f t="shared" si="18"/>
        <v>0</v>
      </c>
      <c r="F116" s="285">
        <f t="shared" si="18"/>
        <v>0</v>
      </c>
      <c r="G116" s="285">
        <f t="shared" si="18"/>
        <v>0</v>
      </c>
      <c r="H116" s="285">
        <f t="shared" si="18"/>
        <v>0</v>
      </c>
      <c r="J116" s="307"/>
      <c r="K116" s="307"/>
      <c r="L116" s="307"/>
    </row>
    <row r="117" spans="1:12">
      <c r="A117" s="94"/>
      <c r="B117" s="285"/>
      <c r="C117" s="285"/>
      <c r="D117" s="285"/>
      <c r="E117" s="285"/>
      <c r="F117" s="285"/>
      <c r="G117" s="285"/>
      <c r="H117" s="285"/>
      <c r="J117" s="307"/>
      <c r="K117" s="307"/>
      <c r="L117" s="307"/>
    </row>
    <row r="118" spans="1:12">
      <c r="A118" s="94"/>
      <c r="B118" s="285"/>
      <c r="C118" s="285"/>
      <c r="D118" s="285"/>
      <c r="E118" s="285"/>
      <c r="F118" s="285"/>
      <c r="G118" s="285"/>
      <c r="H118" s="285"/>
      <c r="J118" s="307"/>
      <c r="K118" s="307"/>
      <c r="L118" s="307"/>
    </row>
    <row r="119" spans="1:12">
      <c r="A119" s="100" t="s">
        <v>139</v>
      </c>
      <c r="B119" s="94"/>
      <c r="C119" s="94"/>
      <c r="D119" s="94"/>
      <c r="E119" s="94"/>
      <c r="F119" s="94"/>
      <c r="G119" s="94"/>
      <c r="H119" s="94"/>
    </row>
    <row r="120" spans="1:12">
      <c r="A120" s="98" t="str">
        <f t="shared" ref="A120:A141" si="19">A68</f>
        <v>Soybean</v>
      </c>
      <c r="B120" s="286">
        <f t="shared" ref="B120:H129" si="20">B68-(B68*$G$6)</f>
        <v>777.84299999999996</v>
      </c>
      <c r="C120" s="286">
        <f t="shared" si="20"/>
        <v>907.48349999999994</v>
      </c>
      <c r="D120" s="286">
        <f t="shared" si="20"/>
        <v>1037.1239999999998</v>
      </c>
      <c r="E120" s="286">
        <f t="shared" si="20"/>
        <v>1166.7645</v>
      </c>
      <c r="F120" s="286">
        <f t="shared" si="20"/>
        <v>1296.4049999999997</v>
      </c>
      <c r="G120" s="286">
        <f t="shared" si="20"/>
        <v>1426.0454999999997</v>
      </c>
      <c r="H120" s="286">
        <f t="shared" si="20"/>
        <v>1555.6859999999999</v>
      </c>
    </row>
    <row r="121" spans="1:12">
      <c r="A121" s="98" t="str">
        <f t="shared" si="19"/>
        <v>Tur</v>
      </c>
      <c r="B121" s="286">
        <f t="shared" si="20"/>
        <v>82.935000000000002</v>
      </c>
      <c r="C121" s="286">
        <f t="shared" si="20"/>
        <v>96.757499999999993</v>
      </c>
      <c r="D121" s="286">
        <f t="shared" si="20"/>
        <v>110.58</v>
      </c>
      <c r="E121" s="286">
        <f t="shared" si="20"/>
        <v>124.4025</v>
      </c>
      <c r="F121" s="286">
        <f t="shared" si="20"/>
        <v>138.22499999999999</v>
      </c>
      <c r="G121" s="286">
        <f t="shared" si="20"/>
        <v>152.04750000000001</v>
      </c>
      <c r="H121" s="286">
        <f t="shared" si="20"/>
        <v>165.87</v>
      </c>
    </row>
    <row r="122" spans="1:12">
      <c r="A122" s="98" t="str">
        <f t="shared" si="19"/>
        <v>Turmeric</v>
      </c>
      <c r="B122" s="286">
        <f t="shared" si="20"/>
        <v>907.48349999999994</v>
      </c>
      <c r="C122" s="286">
        <f t="shared" si="20"/>
        <v>1058.7307499999999</v>
      </c>
      <c r="D122" s="286">
        <f t="shared" si="20"/>
        <v>1209.9779999999998</v>
      </c>
      <c r="E122" s="286">
        <f t="shared" si="20"/>
        <v>1361.2252499999995</v>
      </c>
      <c r="F122" s="286">
        <f t="shared" si="20"/>
        <v>1512.4724999999994</v>
      </c>
      <c r="G122" s="286">
        <f t="shared" si="20"/>
        <v>1663.7197499999995</v>
      </c>
      <c r="H122" s="286">
        <f t="shared" si="20"/>
        <v>1814.9669999999996</v>
      </c>
    </row>
    <row r="123" spans="1:12">
      <c r="A123" s="98" t="str">
        <f t="shared" si="19"/>
        <v>Moong</v>
      </c>
      <c r="B123" s="286">
        <f t="shared" si="20"/>
        <v>60.498899999999999</v>
      </c>
      <c r="C123" s="286">
        <f t="shared" si="20"/>
        <v>70.582049999999981</v>
      </c>
      <c r="D123" s="286">
        <f t="shared" si="20"/>
        <v>80.665199999999999</v>
      </c>
      <c r="E123" s="286">
        <f t="shared" si="20"/>
        <v>90.748349999999988</v>
      </c>
      <c r="F123" s="286">
        <f t="shared" si="20"/>
        <v>100.83149999999998</v>
      </c>
      <c r="G123" s="286">
        <f t="shared" si="20"/>
        <v>110.91464999999998</v>
      </c>
      <c r="H123" s="286">
        <f t="shared" si="20"/>
        <v>120.9978</v>
      </c>
    </row>
    <row r="124" spans="1:12">
      <c r="A124" s="98" t="str">
        <f t="shared" si="19"/>
        <v>Maize</v>
      </c>
      <c r="B124" s="286">
        <f t="shared" si="20"/>
        <v>0</v>
      </c>
      <c r="C124" s="286">
        <f t="shared" si="20"/>
        <v>0</v>
      </c>
      <c r="D124" s="286">
        <f t="shared" si="20"/>
        <v>0</v>
      </c>
      <c r="E124" s="286">
        <f t="shared" si="20"/>
        <v>0</v>
      </c>
      <c r="F124" s="286">
        <f t="shared" si="20"/>
        <v>0</v>
      </c>
      <c r="G124" s="286">
        <f t="shared" si="20"/>
        <v>0</v>
      </c>
      <c r="H124" s="286">
        <f t="shared" si="20"/>
        <v>0</v>
      </c>
    </row>
    <row r="125" spans="1:12">
      <c r="A125" s="98" t="str">
        <f t="shared" si="19"/>
        <v>Udid</v>
      </c>
      <c r="B125" s="286">
        <f t="shared" si="20"/>
        <v>69.141599999999997</v>
      </c>
      <c r="C125" s="286">
        <f t="shared" si="20"/>
        <v>80.665199999999999</v>
      </c>
      <c r="D125" s="286">
        <f t="shared" si="20"/>
        <v>92.188799999999972</v>
      </c>
      <c r="E125" s="286">
        <f t="shared" si="20"/>
        <v>103.71239999999999</v>
      </c>
      <c r="F125" s="286">
        <f t="shared" si="20"/>
        <v>115.23599999999999</v>
      </c>
      <c r="G125" s="286">
        <f t="shared" si="20"/>
        <v>126.75959999999998</v>
      </c>
      <c r="H125" s="286">
        <f t="shared" si="20"/>
        <v>138.28319999999999</v>
      </c>
    </row>
    <row r="126" spans="1:12">
      <c r="A126" s="98" t="str">
        <f t="shared" si="19"/>
        <v>Bajra</v>
      </c>
      <c r="B126" s="286">
        <f t="shared" si="20"/>
        <v>0</v>
      </c>
      <c r="C126" s="286">
        <f t="shared" si="20"/>
        <v>0</v>
      </c>
      <c r="D126" s="286">
        <f t="shared" si="20"/>
        <v>0</v>
      </c>
      <c r="E126" s="286">
        <f t="shared" si="20"/>
        <v>0</v>
      </c>
      <c r="F126" s="286">
        <f t="shared" si="20"/>
        <v>0</v>
      </c>
      <c r="G126" s="286">
        <f t="shared" si="20"/>
        <v>0</v>
      </c>
      <c r="H126" s="286">
        <f t="shared" si="20"/>
        <v>0</v>
      </c>
    </row>
    <row r="127" spans="1:12">
      <c r="A127" s="98" t="str">
        <f t="shared" si="19"/>
        <v>Jawar</v>
      </c>
      <c r="B127" s="286">
        <f t="shared" si="20"/>
        <v>84.680999999999997</v>
      </c>
      <c r="C127" s="286">
        <f t="shared" si="20"/>
        <v>98.794499999999999</v>
      </c>
      <c r="D127" s="286">
        <f t="shared" si="20"/>
        <v>112.90799999999999</v>
      </c>
      <c r="E127" s="286">
        <f t="shared" si="20"/>
        <v>127.02149999999999</v>
      </c>
      <c r="F127" s="286">
        <f t="shared" si="20"/>
        <v>141.13499999999999</v>
      </c>
      <c r="G127" s="286">
        <f t="shared" si="20"/>
        <v>155.24849999999998</v>
      </c>
      <c r="H127" s="286">
        <f t="shared" si="20"/>
        <v>169.36199999999999</v>
      </c>
    </row>
    <row r="128" spans="1:12">
      <c r="A128" s="98" t="str">
        <f t="shared" si="19"/>
        <v>Channa</v>
      </c>
      <c r="B128" s="286">
        <f t="shared" si="20"/>
        <v>0</v>
      </c>
      <c r="C128" s="286">
        <f t="shared" si="20"/>
        <v>0</v>
      </c>
      <c r="D128" s="286">
        <f t="shared" si="20"/>
        <v>0</v>
      </c>
      <c r="E128" s="286">
        <f t="shared" si="20"/>
        <v>0</v>
      </c>
      <c r="F128" s="286">
        <f t="shared" si="20"/>
        <v>0</v>
      </c>
      <c r="G128" s="286">
        <f t="shared" si="20"/>
        <v>0</v>
      </c>
      <c r="H128" s="286">
        <f t="shared" si="20"/>
        <v>0</v>
      </c>
    </row>
    <row r="129" spans="1:8">
      <c r="A129" s="98" t="str">
        <f t="shared" si="19"/>
        <v>Wheat</v>
      </c>
      <c r="B129" s="286">
        <f t="shared" si="20"/>
        <v>223.92449999999999</v>
      </c>
      <c r="C129" s="286">
        <f t="shared" si="20"/>
        <v>261.24524999999994</v>
      </c>
      <c r="D129" s="286">
        <f t="shared" si="20"/>
        <v>298.56600000000003</v>
      </c>
      <c r="E129" s="286">
        <f t="shared" si="20"/>
        <v>335.88674999999995</v>
      </c>
      <c r="F129" s="286">
        <f t="shared" si="20"/>
        <v>373.20749999999981</v>
      </c>
      <c r="G129" s="286">
        <f t="shared" si="20"/>
        <v>410.52824999999984</v>
      </c>
      <c r="H129" s="286">
        <f t="shared" si="20"/>
        <v>447.84899999999993</v>
      </c>
    </row>
    <row r="130" spans="1:8">
      <c r="A130" s="98" t="str">
        <f t="shared" si="19"/>
        <v>Channa</v>
      </c>
      <c r="B130" s="286">
        <f t="shared" ref="B130:H139" si="21">B78-(B78*$G$6)</f>
        <v>696.65399999999988</v>
      </c>
      <c r="C130" s="286">
        <f t="shared" si="21"/>
        <v>812.76300000000003</v>
      </c>
      <c r="D130" s="286">
        <f t="shared" si="21"/>
        <v>928.87199999999996</v>
      </c>
      <c r="E130" s="286">
        <f t="shared" si="21"/>
        <v>1044.981</v>
      </c>
      <c r="F130" s="286">
        <f t="shared" si="21"/>
        <v>1161.0899999999999</v>
      </c>
      <c r="G130" s="286">
        <f t="shared" si="21"/>
        <v>1277.1990000000001</v>
      </c>
      <c r="H130" s="286">
        <f t="shared" si="21"/>
        <v>1393.3079999999998</v>
      </c>
    </row>
    <row r="131" spans="1:8">
      <c r="A131" s="98" t="str">
        <f t="shared" si="19"/>
        <v>Jawar</v>
      </c>
      <c r="B131" s="286">
        <f t="shared" si="21"/>
        <v>81.293760000000006</v>
      </c>
      <c r="C131" s="286">
        <f t="shared" si="21"/>
        <v>94.84272</v>
      </c>
      <c r="D131" s="286">
        <f t="shared" si="21"/>
        <v>108.39167999999999</v>
      </c>
      <c r="E131" s="286">
        <f t="shared" si="21"/>
        <v>121.94064</v>
      </c>
      <c r="F131" s="286">
        <f t="shared" si="21"/>
        <v>135.4896</v>
      </c>
      <c r="G131" s="286">
        <f t="shared" si="21"/>
        <v>149.03856000000002</v>
      </c>
      <c r="H131" s="286">
        <f t="shared" si="21"/>
        <v>162.58752000000004</v>
      </c>
    </row>
    <row r="132" spans="1:8">
      <c r="A132" s="98" t="str">
        <f t="shared" si="19"/>
        <v>Maize</v>
      </c>
      <c r="B132" s="286">
        <f t="shared" si="21"/>
        <v>0</v>
      </c>
      <c r="C132" s="286">
        <f t="shared" si="21"/>
        <v>0</v>
      </c>
      <c r="D132" s="286">
        <f t="shared" si="21"/>
        <v>0</v>
      </c>
      <c r="E132" s="286">
        <f t="shared" si="21"/>
        <v>0</v>
      </c>
      <c r="F132" s="286">
        <f t="shared" si="21"/>
        <v>0</v>
      </c>
      <c r="G132" s="286">
        <f t="shared" si="21"/>
        <v>0</v>
      </c>
      <c r="H132" s="286">
        <f t="shared" si="21"/>
        <v>0</v>
      </c>
    </row>
    <row r="133" spans="1:8">
      <c r="A133" s="98" t="str">
        <f t="shared" si="19"/>
        <v>Safflower</v>
      </c>
      <c r="B133" s="286">
        <f t="shared" si="21"/>
        <v>0</v>
      </c>
      <c r="C133" s="286">
        <f t="shared" si="21"/>
        <v>0</v>
      </c>
      <c r="D133" s="286">
        <f t="shared" si="21"/>
        <v>0</v>
      </c>
      <c r="E133" s="286">
        <f t="shared" si="21"/>
        <v>0</v>
      </c>
      <c r="F133" s="286">
        <f t="shared" si="21"/>
        <v>0</v>
      </c>
      <c r="G133" s="286">
        <f t="shared" si="21"/>
        <v>0</v>
      </c>
      <c r="H133" s="286">
        <f t="shared" si="21"/>
        <v>0</v>
      </c>
    </row>
    <row r="134" spans="1:8">
      <c r="A134" s="98" t="str">
        <f t="shared" si="19"/>
        <v>Groundnut</v>
      </c>
      <c r="B134" s="286">
        <f t="shared" si="21"/>
        <v>25.928099999999997</v>
      </c>
      <c r="C134" s="286">
        <f t="shared" si="21"/>
        <v>30.249449999999996</v>
      </c>
      <c r="D134" s="286">
        <f t="shared" si="21"/>
        <v>34.570799999999998</v>
      </c>
      <c r="E134" s="286">
        <f t="shared" si="21"/>
        <v>38.892149999999994</v>
      </c>
      <c r="F134" s="286">
        <f t="shared" si="21"/>
        <v>43.213499999999989</v>
      </c>
      <c r="G134" s="286">
        <f t="shared" si="21"/>
        <v>47.534849999999999</v>
      </c>
      <c r="H134" s="286">
        <f t="shared" si="21"/>
        <v>51.856199999999994</v>
      </c>
    </row>
    <row r="135" spans="1:8">
      <c r="A135" s="98">
        <f t="shared" si="19"/>
        <v>0</v>
      </c>
      <c r="B135" s="286">
        <f t="shared" si="21"/>
        <v>0</v>
      </c>
      <c r="C135" s="286">
        <f t="shared" si="21"/>
        <v>0</v>
      </c>
      <c r="D135" s="286">
        <f t="shared" si="21"/>
        <v>0</v>
      </c>
      <c r="E135" s="286">
        <f t="shared" si="21"/>
        <v>0</v>
      </c>
      <c r="F135" s="286">
        <f t="shared" si="21"/>
        <v>0</v>
      </c>
      <c r="G135" s="286">
        <f t="shared" si="21"/>
        <v>0</v>
      </c>
      <c r="H135" s="286">
        <f t="shared" si="21"/>
        <v>0</v>
      </c>
    </row>
    <row r="136" spans="1:8">
      <c r="A136" s="98">
        <f t="shared" si="19"/>
        <v>0</v>
      </c>
      <c r="B136" s="286">
        <f t="shared" si="21"/>
        <v>0</v>
      </c>
      <c r="C136" s="286">
        <f t="shared" si="21"/>
        <v>0</v>
      </c>
      <c r="D136" s="286">
        <f t="shared" si="21"/>
        <v>0</v>
      </c>
      <c r="E136" s="286">
        <f t="shared" si="21"/>
        <v>0</v>
      </c>
      <c r="F136" s="286">
        <f t="shared" si="21"/>
        <v>0</v>
      </c>
      <c r="G136" s="286">
        <f t="shared" si="21"/>
        <v>0</v>
      </c>
      <c r="H136" s="286">
        <f t="shared" si="21"/>
        <v>0</v>
      </c>
    </row>
    <row r="137" spans="1:8">
      <c r="A137" s="98" t="str">
        <f t="shared" si="19"/>
        <v>Soybean</v>
      </c>
      <c r="B137" s="286">
        <f t="shared" si="21"/>
        <v>3.4570799999999999</v>
      </c>
      <c r="C137" s="286">
        <f t="shared" si="21"/>
        <v>4.0332599999999994</v>
      </c>
      <c r="D137" s="286">
        <f t="shared" si="21"/>
        <v>4.6094400000000002</v>
      </c>
      <c r="E137" s="286">
        <f t="shared" si="21"/>
        <v>5.1856200000000001</v>
      </c>
      <c r="F137" s="286">
        <f t="shared" si="21"/>
        <v>5.7617999999999983</v>
      </c>
      <c r="G137" s="286">
        <f t="shared" si="21"/>
        <v>6.3379799999999991</v>
      </c>
      <c r="H137" s="286">
        <f t="shared" si="21"/>
        <v>6.9141599999999999</v>
      </c>
    </row>
    <row r="138" spans="1:8">
      <c r="A138" s="98" t="str">
        <f t="shared" si="19"/>
        <v>Paddy</v>
      </c>
      <c r="B138" s="286">
        <f t="shared" si="21"/>
        <v>2.5928100000000001</v>
      </c>
      <c r="C138" s="286">
        <f t="shared" si="21"/>
        <v>3.0249449999999998</v>
      </c>
      <c r="D138" s="286">
        <f t="shared" si="21"/>
        <v>3.4570799999999995</v>
      </c>
      <c r="E138" s="286">
        <f t="shared" si="21"/>
        <v>3.8892149999999992</v>
      </c>
      <c r="F138" s="286">
        <f t="shared" si="21"/>
        <v>4.3213499999999989</v>
      </c>
      <c r="G138" s="286">
        <f t="shared" si="21"/>
        <v>4.7534849999999995</v>
      </c>
      <c r="H138" s="286">
        <f t="shared" si="21"/>
        <v>5.1856200000000001</v>
      </c>
    </row>
    <row r="139" spans="1:8">
      <c r="A139" s="98">
        <f t="shared" si="19"/>
        <v>0</v>
      </c>
      <c r="B139" s="286">
        <f t="shared" si="21"/>
        <v>0</v>
      </c>
      <c r="C139" s="286">
        <f t="shared" si="21"/>
        <v>0</v>
      </c>
      <c r="D139" s="286">
        <f t="shared" si="21"/>
        <v>0</v>
      </c>
      <c r="E139" s="286">
        <f t="shared" si="21"/>
        <v>0</v>
      </c>
      <c r="F139" s="286">
        <f t="shared" si="21"/>
        <v>0</v>
      </c>
      <c r="G139" s="286">
        <f t="shared" si="21"/>
        <v>0</v>
      </c>
      <c r="H139" s="286">
        <f t="shared" si="21"/>
        <v>0</v>
      </c>
    </row>
    <row r="140" spans="1:8">
      <c r="A140" s="98">
        <f t="shared" si="19"/>
        <v>0</v>
      </c>
      <c r="B140" s="286">
        <f t="shared" ref="B140:H141" si="22">B88-(B88*$G$6)</f>
        <v>0</v>
      </c>
      <c r="C140" s="286">
        <f t="shared" si="22"/>
        <v>0</v>
      </c>
      <c r="D140" s="286">
        <f t="shared" si="22"/>
        <v>0</v>
      </c>
      <c r="E140" s="286">
        <f t="shared" si="22"/>
        <v>0</v>
      </c>
      <c r="F140" s="286">
        <f t="shared" si="22"/>
        <v>0</v>
      </c>
      <c r="G140" s="286">
        <f t="shared" si="22"/>
        <v>0</v>
      </c>
      <c r="H140" s="286">
        <f t="shared" si="22"/>
        <v>0</v>
      </c>
    </row>
    <row r="141" spans="1:8">
      <c r="A141" s="98">
        <f t="shared" si="19"/>
        <v>0</v>
      </c>
      <c r="B141" s="286">
        <f t="shared" si="22"/>
        <v>0</v>
      </c>
      <c r="C141" s="286">
        <f t="shared" si="22"/>
        <v>0</v>
      </c>
      <c r="D141" s="286">
        <f t="shared" si="22"/>
        <v>0</v>
      </c>
      <c r="E141" s="286">
        <f t="shared" si="22"/>
        <v>0</v>
      </c>
      <c r="F141" s="286">
        <f t="shared" si="22"/>
        <v>0</v>
      </c>
      <c r="G141" s="286">
        <f t="shared" si="22"/>
        <v>0</v>
      </c>
      <c r="H141" s="286">
        <f t="shared" si="22"/>
        <v>0</v>
      </c>
    </row>
    <row r="142" spans="1:8">
      <c r="A142" s="98"/>
      <c r="B142" s="286"/>
      <c r="C142" s="286"/>
      <c r="D142" s="286"/>
      <c r="E142" s="286"/>
      <c r="F142" s="286"/>
      <c r="G142" s="286"/>
      <c r="H142" s="286"/>
    </row>
    <row r="143" spans="1:8">
      <c r="A143" s="100" t="str">
        <f t="shared" ref="A143:A161" si="23">A91</f>
        <v>Fruit  &amp; Vegetables Crop Production Details</v>
      </c>
      <c r="B143" s="286"/>
      <c r="C143" s="286"/>
      <c r="D143" s="286"/>
      <c r="E143" s="286"/>
      <c r="F143" s="286"/>
      <c r="G143" s="286"/>
      <c r="H143" s="286"/>
    </row>
    <row r="144" spans="1:8">
      <c r="A144" s="98" t="str">
        <f t="shared" si="23"/>
        <v>Onion</v>
      </c>
      <c r="B144" s="286">
        <f t="shared" ref="B144:H153" si="24">B92-(B92*$G$7)</f>
        <v>0</v>
      </c>
      <c r="C144" s="286">
        <f t="shared" si="24"/>
        <v>0</v>
      </c>
      <c r="D144" s="286">
        <f t="shared" si="24"/>
        <v>0</v>
      </c>
      <c r="E144" s="286">
        <f t="shared" si="24"/>
        <v>0</v>
      </c>
      <c r="F144" s="286">
        <f t="shared" si="24"/>
        <v>0</v>
      </c>
      <c r="G144" s="286">
        <f t="shared" si="24"/>
        <v>0</v>
      </c>
      <c r="H144" s="286">
        <f t="shared" si="24"/>
        <v>0</v>
      </c>
    </row>
    <row r="145" spans="1:8">
      <c r="A145" s="98" t="str">
        <f t="shared" si="23"/>
        <v>Tomato</v>
      </c>
      <c r="B145" s="286">
        <f t="shared" si="24"/>
        <v>0</v>
      </c>
      <c r="C145" s="286">
        <f t="shared" si="24"/>
        <v>0</v>
      </c>
      <c r="D145" s="286">
        <f t="shared" si="24"/>
        <v>0</v>
      </c>
      <c r="E145" s="286">
        <f t="shared" si="24"/>
        <v>0</v>
      </c>
      <c r="F145" s="286">
        <f t="shared" si="24"/>
        <v>0</v>
      </c>
      <c r="G145" s="286">
        <f t="shared" si="24"/>
        <v>0</v>
      </c>
      <c r="H145" s="286">
        <f t="shared" si="24"/>
        <v>0</v>
      </c>
    </row>
    <row r="146" spans="1:8">
      <c r="A146" s="98" t="str">
        <f t="shared" si="23"/>
        <v>Okra</v>
      </c>
      <c r="B146" s="286">
        <f t="shared" si="24"/>
        <v>0</v>
      </c>
      <c r="C146" s="286">
        <f t="shared" si="24"/>
        <v>0</v>
      </c>
      <c r="D146" s="286">
        <f t="shared" si="24"/>
        <v>0</v>
      </c>
      <c r="E146" s="286">
        <f t="shared" si="24"/>
        <v>0</v>
      </c>
      <c r="F146" s="286">
        <f t="shared" si="24"/>
        <v>0</v>
      </c>
      <c r="G146" s="286">
        <f t="shared" si="24"/>
        <v>0</v>
      </c>
      <c r="H146" s="286">
        <f t="shared" si="24"/>
        <v>0</v>
      </c>
    </row>
    <row r="147" spans="1:8">
      <c r="A147" s="98" t="str">
        <f t="shared" si="23"/>
        <v>Chilli</v>
      </c>
      <c r="B147" s="286">
        <f t="shared" si="24"/>
        <v>0</v>
      </c>
      <c r="C147" s="286">
        <f t="shared" si="24"/>
        <v>0</v>
      </c>
      <c r="D147" s="286">
        <f t="shared" si="24"/>
        <v>0</v>
      </c>
      <c r="E147" s="286">
        <f t="shared" si="24"/>
        <v>0</v>
      </c>
      <c r="F147" s="286">
        <f t="shared" si="24"/>
        <v>0</v>
      </c>
      <c r="G147" s="286">
        <f t="shared" si="24"/>
        <v>0</v>
      </c>
      <c r="H147" s="286">
        <f t="shared" si="24"/>
        <v>0</v>
      </c>
    </row>
    <row r="148" spans="1:8">
      <c r="A148" s="98" t="str">
        <f t="shared" si="23"/>
        <v>Potato</v>
      </c>
      <c r="B148" s="286">
        <f t="shared" si="24"/>
        <v>0</v>
      </c>
      <c r="C148" s="286">
        <f t="shared" si="24"/>
        <v>0</v>
      </c>
      <c r="D148" s="286">
        <f t="shared" si="24"/>
        <v>0</v>
      </c>
      <c r="E148" s="286">
        <f t="shared" si="24"/>
        <v>0</v>
      </c>
      <c r="F148" s="286">
        <f t="shared" si="24"/>
        <v>0</v>
      </c>
      <c r="G148" s="286">
        <f t="shared" si="24"/>
        <v>0</v>
      </c>
      <c r="H148" s="286">
        <f t="shared" si="24"/>
        <v>0</v>
      </c>
    </row>
    <row r="149" spans="1:8">
      <c r="A149" s="98">
        <f t="shared" si="23"/>
        <v>0</v>
      </c>
      <c r="B149" s="286">
        <f t="shared" si="24"/>
        <v>0</v>
      </c>
      <c r="C149" s="286">
        <f t="shared" si="24"/>
        <v>0</v>
      </c>
      <c r="D149" s="286">
        <f t="shared" si="24"/>
        <v>0</v>
      </c>
      <c r="E149" s="286">
        <f t="shared" si="24"/>
        <v>0</v>
      </c>
      <c r="F149" s="286">
        <f t="shared" si="24"/>
        <v>0</v>
      </c>
      <c r="G149" s="286">
        <f t="shared" si="24"/>
        <v>0</v>
      </c>
      <c r="H149" s="286">
        <f t="shared" si="24"/>
        <v>0</v>
      </c>
    </row>
    <row r="150" spans="1:8">
      <c r="A150" s="98">
        <f t="shared" si="23"/>
        <v>0</v>
      </c>
      <c r="B150" s="286">
        <f t="shared" si="24"/>
        <v>0</v>
      </c>
      <c r="C150" s="286">
        <f t="shared" si="24"/>
        <v>0</v>
      </c>
      <c r="D150" s="286">
        <f t="shared" si="24"/>
        <v>0</v>
      </c>
      <c r="E150" s="286">
        <f t="shared" si="24"/>
        <v>0</v>
      </c>
      <c r="F150" s="286">
        <f t="shared" si="24"/>
        <v>0</v>
      </c>
      <c r="G150" s="286">
        <f t="shared" si="24"/>
        <v>0</v>
      </c>
      <c r="H150" s="286">
        <f t="shared" si="24"/>
        <v>0</v>
      </c>
    </row>
    <row r="151" spans="1:8">
      <c r="A151" s="98">
        <f t="shared" si="23"/>
        <v>0</v>
      </c>
      <c r="B151" s="286">
        <f t="shared" si="24"/>
        <v>0</v>
      </c>
      <c r="C151" s="286">
        <f t="shared" si="24"/>
        <v>0</v>
      </c>
      <c r="D151" s="286">
        <f t="shared" si="24"/>
        <v>0</v>
      </c>
      <c r="E151" s="286">
        <f t="shared" si="24"/>
        <v>0</v>
      </c>
      <c r="F151" s="286">
        <f t="shared" si="24"/>
        <v>0</v>
      </c>
      <c r="G151" s="286">
        <f t="shared" si="24"/>
        <v>0</v>
      </c>
      <c r="H151" s="286">
        <f t="shared" si="24"/>
        <v>0</v>
      </c>
    </row>
    <row r="152" spans="1:8">
      <c r="A152" s="98">
        <f t="shared" si="23"/>
        <v>0</v>
      </c>
      <c r="B152" s="286">
        <f t="shared" si="24"/>
        <v>0</v>
      </c>
      <c r="C152" s="286">
        <f t="shared" si="24"/>
        <v>0</v>
      </c>
      <c r="D152" s="286">
        <f t="shared" si="24"/>
        <v>0</v>
      </c>
      <c r="E152" s="286">
        <f t="shared" si="24"/>
        <v>0</v>
      </c>
      <c r="F152" s="286">
        <f t="shared" si="24"/>
        <v>0</v>
      </c>
      <c r="G152" s="286">
        <f t="shared" si="24"/>
        <v>0</v>
      </c>
      <c r="H152" s="286">
        <f t="shared" si="24"/>
        <v>0</v>
      </c>
    </row>
    <row r="153" spans="1:8">
      <c r="A153" s="98" t="str">
        <f t="shared" si="23"/>
        <v>Onion</v>
      </c>
      <c r="B153" s="286">
        <f t="shared" si="24"/>
        <v>0</v>
      </c>
      <c r="C153" s="286">
        <f t="shared" si="24"/>
        <v>0</v>
      </c>
      <c r="D153" s="286">
        <f t="shared" si="24"/>
        <v>0</v>
      </c>
      <c r="E153" s="286">
        <f t="shared" si="24"/>
        <v>0</v>
      </c>
      <c r="F153" s="286">
        <f t="shared" si="24"/>
        <v>0</v>
      </c>
      <c r="G153" s="286">
        <f t="shared" si="24"/>
        <v>0</v>
      </c>
      <c r="H153" s="286">
        <f t="shared" si="24"/>
        <v>0</v>
      </c>
    </row>
    <row r="154" spans="1:8">
      <c r="A154" s="98" t="str">
        <f t="shared" si="23"/>
        <v>Tomato</v>
      </c>
      <c r="B154" s="286">
        <f t="shared" ref="B154:H161" si="25">B102-(B102*$G$7)</f>
        <v>0</v>
      </c>
      <c r="C154" s="286">
        <f t="shared" si="25"/>
        <v>0</v>
      </c>
      <c r="D154" s="286">
        <f t="shared" si="25"/>
        <v>0</v>
      </c>
      <c r="E154" s="286">
        <f t="shared" si="25"/>
        <v>0</v>
      </c>
      <c r="F154" s="286">
        <f t="shared" si="25"/>
        <v>0</v>
      </c>
      <c r="G154" s="286">
        <f t="shared" si="25"/>
        <v>0</v>
      </c>
      <c r="H154" s="286">
        <f t="shared" si="25"/>
        <v>0</v>
      </c>
    </row>
    <row r="155" spans="1:8">
      <c r="A155" s="98" t="str">
        <f t="shared" si="23"/>
        <v>Okra</v>
      </c>
      <c r="B155" s="286">
        <f t="shared" si="25"/>
        <v>0</v>
      </c>
      <c r="C155" s="286">
        <f t="shared" si="25"/>
        <v>0</v>
      </c>
      <c r="D155" s="286">
        <f t="shared" si="25"/>
        <v>0</v>
      </c>
      <c r="E155" s="286">
        <f t="shared" si="25"/>
        <v>0</v>
      </c>
      <c r="F155" s="286">
        <f t="shared" si="25"/>
        <v>0</v>
      </c>
      <c r="G155" s="286">
        <f t="shared" si="25"/>
        <v>0</v>
      </c>
      <c r="H155" s="286">
        <f t="shared" si="25"/>
        <v>0</v>
      </c>
    </row>
    <row r="156" spans="1:8">
      <c r="A156" s="98" t="str">
        <f t="shared" si="23"/>
        <v>Chilli</v>
      </c>
      <c r="B156" s="286">
        <f t="shared" si="25"/>
        <v>0</v>
      </c>
      <c r="C156" s="286">
        <f t="shared" si="25"/>
        <v>0</v>
      </c>
      <c r="D156" s="286">
        <f t="shared" si="25"/>
        <v>0</v>
      </c>
      <c r="E156" s="286">
        <f t="shared" si="25"/>
        <v>0</v>
      </c>
      <c r="F156" s="286">
        <f t="shared" si="25"/>
        <v>0</v>
      </c>
      <c r="G156" s="286">
        <f t="shared" si="25"/>
        <v>0</v>
      </c>
      <c r="H156" s="286">
        <f t="shared" si="25"/>
        <v>0</v>
      </c>
    </row>
    <row r="157" spans="1:8">
      <c r="A157" s="98" t="str">
        <f t="shared" si="23"/>
        <v>Brinjal</v>
      </c>
      <c r="B157" s="286">
        <f t="shared" si="25"/>
        <v>0</v>
      </c>
      <c r="C157" s="286">
        <f t="shared" si="25"/>
        <v>0</v>
      </c>
      <c r="D157" s="286">
        <f t="shared" si="25"/>
        <v>0</v>
      </c>
      <c r="E157" s="286">
        <f t="shared" si="25"/>
        <v>0</v>
      </c>
      <c r="F157" s="286">
        <f t="shared" si="25"/>
        <v>0</v>
      </c>
      <c r="G157" s="286">
        <f t="shared" si="25"/>
        <v>0</v>
      </c>
      <c r="H157" s="286">
        <f t="shared" si="25"/>
        <v>0</v>
      </c>
    </row>
    <row r="158" spans="1:8">
      <c r="A158" s="98">
        <f t="shared" si="23"/>
        <v>0</v>
      </c>
      <c r="B158" s="286">
        <f t="shared" si="25"/>
        <v>0</v>
      </c>
      <c r="C158" s="286">
        <f t="shared" si="25"/>
        <v>0</v>
      </c>
      <c r="D158" s="286">
        <f t="shared" si="25"/>
        <v>0</v>
      </c>
      <c r="E158" s="286">
        <f t="shared" si="25"/>
        <v>0</v>
      </c>
      <c r="F158" s="286">
        <f t="shared" si="25"/>
        <v>0</v>
      </c>
      <c r="G158" s="286">
        <f t="shared" si="25"/>
        <v>0</v>
      </c>
      <c r="H158" s="286">
        <f t="shared" si="25"/>
        <v>0</v>
      </c>
    </row>
    <row r="159" spans="1:8">
      <c r="A159" s="98">
        <f t="shared" si="23"/>
        <v>0</v>
      </c>
      <c r="B159" s="286">
        <f t="shared" si="25"/>
        <v>0</v>
      </c>
      <c r="C159" s="286">
        <f t="shared" si="25"/>
        <v>0</v>
      </c>
      <c r="D159" s="286">
        <f t="shared" si="25"/>
        <v>0</v>
      </c>
      <c r="E159" s="286">
        <f t="shared" si="25"/>
        <v>0</v>
      </c>
      <c r="F159" s="286">
        <f t="shared" si="25"/>
        <v>0</v>
      </c>
      <c r="G159" s="286">
        <f t="shared" si="25"/>
        <v>0</v>
      </c>
      <c r="H159" s="286">
        <f t="shared" si="25"/>
        <v>0</v>
      </c>
    </row>
    <row r="160" spans="1:8">
      <c r="A160" s="98">
        <f t="shared" si="23"/>
        <v>0</v>
      </c>
      <c r="B160" s="286">
        <f t="shared" si="25"/>
        <v>0</v>
      </c>
      <c r="C160" s="286">
        <f t="shared" si="25"/>
        <v>0</v>
      </c>
      <c r="D160" s="286">
        <f t="shared" si="25"/>
        <v>0</v>
      </c>
      <c r="E160" s="286">
        <f t="shared" si="25"/>
        <v>0</v>
      </c>
      <c r="F160" s="286">
        <f t="shared" si="25"/>
        <v>0</v>
      </c>
      <c r="G160" s="286">
        <f t="shared" si="25"/>
        <v>0</v>
      </c>
      <c r="H160" s="286">
        <f t="shared" si="25"/>
        <v>0</v>
      </c>
    </row>
    <row r="161" spans="1:20">
      <c r="A161" s="98">
        <f t="shared" si="23"/>
        <v>0</v>
      </c>
      <c r="B161" s="286">
        <f t="shared" si="25"/>
        <v>0</v>
      </c>
      <c r="C161" s="286">
        <f t="shared" si="25"/>
        <v>0</v>
      </c>
      <c r="D161" s="286">
        <f t="shared" si="25"/>
        <v>0</v>
      </c>
      <c r="E161" s="286">
        <f t="shared" si="25"/>
        <v>0</v>
      </c>
      <c r="F161" s="286">
        <f t="shared" si="25"/>
        <v>0</v>
      </c>
      <c r="G161" s="286">
        <f t="shared" si="25"/>
        <v>0</v>
      </c>
      <c r="H161" s="286">
        <f t="shared" si="25"/>
        <v>0</v>
      </c>
    </row>
    <row r="162" spans="1:20">
      <c r="A162" s="98">
        <f t="shared" ref="A162:A165" si="26">A110</f>
        <v>0</v>
      </c>
      <c r="B162" s="286">
        <f t="shared" ref="B162:H162" si="27">B110-(B110*$G$7)</f>
        <v>0</v>
      </c>
      <c r="C162" s="286">
        <f t="shared" si="27"/>
        <v>0</v>
      </c>
      <c r="D162" s="286">
        <f t="shared" si="27"/>
        <v>0</v>
      </c>
      <c r="E162" s="286">
        <f t="shared" si="27"/>
        <v>0</v>
      </c>
      <c r="F162" s="286">
        <f t="shared" si="27"/>
        <v>0</v>
      </c>
      <c r="G162" s="286">
        <f t="shared" si="27"/>
        <v>0</v>
      </c>
      <c r="H162" s="286">
        <f t="shared" si="27"/>
        <v>0</v>
      </c>
    </row>
    <row r="163" spans="1:20">
      <c r="A163" s="98">
        <f t="shared" si="26"/>
        <v>0</v>
      </c>
      <c r="B163" s="286">
        <f t="shared" ref="B163:H163" si="28">B111-(B111*$G$7)</f>
        <v>0</v>
      </c>
      <c r="C163" s="286">
        <f t="shared" si="28"/>
        <v>0</v>
      </c>
      <c r="D163" s="286">
        <f t="shared" si="28"/>
        <v>0</v>
      </c>
      <c r="E163" s="286">
        <f t="shared" si="28"/>
        <v>0</v>
      </c>
      <c r="F163" s="286">
        <f t="shared" si="28"/>
        <v>0</v>
      </c>
      <c r="G163" s="286">
        <f t="shared" si="28"/>
        <v>0</v>
      </c>
      <c r="H163" s="286">
        <f t="shared" si="28"/>
        <v>0</v>
      </c>
    </row>
    <row r="164" spans="1:20">
      <c r="A164" s="98">
        <f t="shared" si="26"/>
        <v>0</v>
      </c>
      <c r="B164" s="286">
        <f t="shared" ref="B164:H165" si="29">B112-(B112*$G$7)</f>
        <v>0</v>
      </c>
      <c r="C164" s="286">
        <f t="shared" si="29"/>
        <v>0</v>
      </c>
      <c r="D164" s="286">
        <f t="shared" si="29"/>
        <v>0</v>
      </c>
      <c r="E164" s="286">
        <f t="shared" si="29"/>
        <v>0</v>
      </c>
      <c r="F164" s="286">
        <f t="shared" si="29"/>
        <v>0</v>
      </c>
      <c r="G164" s="286">
        <f t="shared" si="29"/>
        <v>0</v>
      </c>
      <c r="H164" s="286">
        <f t="shared" si="29"/>
        <v>0</v>
      </c>
    </row>
    <row r="165" spans="1:20">
      <c r="A165" s="98" t="str">
        <f t="shared" si="26"/>
        <v>Pomegranate</v>
      </c>
      <c r="B165" s="286">
        <f t="shared" si="29"/>
        <v>0</v>
      </c>
      <c r="C165" s="286">
        <f t="shared" ref="C165:H168" si="30">C113-(C113*$G$7)</f>
        <v>0</v>
      </c>
      <c r="D165" s="286">
        <f t="shared" si="30"/>
        <v>0</v>
      </c>
      <c r="E165" s="286">
        <f t="shared" si="30"/>
        <v>0</v>
      </c>
      <c r="F165" s="286">
        <f t="shared" si="30"/>
        <v>0</v>
      </c>
      <c r="G165" s="286">
        <f t="shared" si="30"/>
        <v>0</v>
      </c>
      <c r="H165" s="286">
        <f t="shared" si="30"/>
        <v>0</v>
      </c>
    </row>
    <row r="166" spans="1:20">
      <c r="A166" s="98" t="str">
        <f>A114</f>
        <v>Custard Apple</v>
      </c>
      <c r="B166" s="286">
        <f>B114-(B114*$G$7)</f>
        <v>0</v>
      </c>
      <c r="C166" s="286">
        <f t="shared" si="30"/>
        <v>0</v>
      </c>
      <c r="D166" s="286">
        <f t="shared" si="30"/>
        <v>0</v>
      </c>
      <c r="E166" s="286">
        <f t="shared" si="30"/>
        <v>0</v>
      </c>
      <c r="F166" s="286">
        <f t="shared" si="30"/>
        <v>0</v>
      </c>
      <c r="G166" s="286">
        <f t="shared" si="30"/>
        <v>0</v>
      </c>
      <c r="H166" s="286">
        <f t="shared" si="30"/>
        <v>0</v>
      </c>
    </row>
    <row r="167" spans="1:20">
      <c r="A167" s="98" t="str">
        <f>A115</f>
        <v>Guava</v>
      </c>
      <c r="B167" s="286">
        <f>B115-(B115*$G$7)</f>
        <v>0</v>
      </c>
      <c r="C167" s="286">
        <f t="shared" si="30"/>
        <v>0</v>
      </c>
      <c r="D167" s="286">
        <f t="shared" si="30"/>
        <v>0</v>
      </c>
      <c r="E167" s="286">
        <f t="shared" si="30"/>
        <v>0</v>
      </c>
      <c r="F167" s="286">
        <f t="shared" si="30"/>
        <v>0</v>
      </c>
      <c r="G167" s="286">
        <f t="shared" si="30"/>
        <v>0</v>
      </c>
      <c r="H167" s="286">
        <f t="shared" si="30"/>
        <v>0</v>
      </c>
    </row>
    <row r="168" spans="1:20">
      <c r="A168" s="98" t="str">
        <f>A116</f>
        <v>Citrus</v>
      </c>
      <c r="B168" s="286">
        <f>B116-(B116*$G$7)</f>
        <v>0</v>
      </c>
      <c r="C168" s="286">
        <f t="shared" si="30"/>
        <v>0</v>
      </c>
      <c r="D168" s="286">
        <f t="shared" si="30"/>
        <v>0</v>
      </c>
      <c r="E168" s="286">
        <f t="shared" si="30"/>
        <v>0</v>
      </c>
      <c r="F168" s="286">
        <f t="shared" si="30"/>
        <v>0</v>
      </c>
      <c r="G168" s="286">
        <f t="shared" si="30"/>
        <v>0</v>
      </c>
      <c r="H168" s="286">
        <f t="shared" si="30"/>
        <v>0</v>
      </c>
    </row>
    <row r="169" spans="1:20">
      <c r="A169" s="186"/>
    </row>
    <row r="170" spans="1:20" ht="18.75">
      <c r="A170" s="412" t="s">
        <v>573</v>
      </c>
      <c r="B170" s="412"/>
      <c r="C170" s="412"/>
      <c r="D170" s="412"/>
      <c r="E170" s="412"/>
      <c r="F170" s="412"/>
      <c r="G170" s="412"/>
      <c r="H170" s="412"/>
      <c r="I170" s="412"/>
      <c r="J170" s="412"/>
    </row>
    <row r="171" spans="1:20">
      <c r="A171" s="16"/>
      <c r="B171" s="16"/>
      <c r="C171" s="16"/>
      <c r="D171" s="16"/>
      <c r="E171" s="16"/>
      <c r="F171" s="16"/>
      <c r="G171" s="16"/>
      <c r="H171" s="16"/>
    </row>
    <row r="172" spans="1:20">
      <c r="A172" s="196"/>
      <c r="B172" s="196"/>
      <c r="C172" s="196"/>
      <c r="D172" s="197">
        <v>1</v>
      </c>
      <c r="E172" s="198">
        <f>(D172*5%)+D172</f>
        <v>1.05</v>
      </c>
      <c r="F172" s="198">
        <f t="shared" ref="F172:J172" si="31">(E172*5%)+E172</f>
        <v>1.1025</v>
      </c>
      <c r="G172" s="198">
        <f t="shared" si="31"/>
        <v>1.1576250000000001</v>
      </c>
      <c r="H172" s="198">
        <f t="shared" si="31"/>
        <v>1.2155062500000002</v>
      </c>
      <c r="I172" s="198">
        <f t="shared" si="31"/>
        <v>1.2762815625000004</v>
      </c>
      <c r="J172" s="198">
        <f t="shared" si="31"/>
        <v>1.3400956406250004</v>
      </c>
      <c r="K172" s="93"/>
      <c r="L172" s="93"/>
      <c r="M172" s="93"/>
      <c r="N172" s="93"/>
      <c r="O172" s="93"/>
      <c r="P172" s="93"/>
      <c r="Q172" s="93"/>
      <c r="R172" s="93"/>
      <c r="S172" s="93"/>
      <c r="T172" s="93"/>
    </row>
    <row r="173" spans="1:20">
      <c r="A173" s="93"/>
      <c r="B173" s="93"/>
      <c r="C173" s="93"/>
      <c r="D173" s="93"/>
      <c r="E173" s="93"/>
      <c r="F173" s="93"/>
      <c r="G173" s="93"/>
      <c r="H173" s="93"/>
      <c r="I173" s="93"/>
      <c r="J173" s="93"/>
      <c r="K173" s="93"/>
      <c r="L173" s="93"/>
      <c r="M173" s="93"/>
      <c r="N173" s="93"/>
      <c r="O173" s="93"/>
      <c r="P173" s="93"/>
      <c r="Q173" s="93"/>
      <c r="R173" s="93"/>
      <c r="S173" s="93"/>
      <c r="T173" s="93"/>
    </row>
    <row r="174" spans="1:20">
      <c r="A174" s="93"/>
      <c r="B174" s="93"/>
      <c r="C174" s="93"/>
      <c r="D174" s="178"/>
      <c r="E174" s="178"/>
      <c r="F174" s="178"/>
      <c r="G174" s="178"/>
      <c r="H174" s="178"/>
      <c r="I174" s="178"/>
      <c r="J174" s="178"/>
      <c r="K174" s="93"/>
      <c r="L174" s="93"/>
    </row>
    <row r="175" spans="1:20">
      <c r="A175" s="82" t="s">
        <v>0</v>
      </c>
      <c r="B175" s="82"/>
      <c r="C175" s="82" t="s">
        <v>151</v>
      </c>
      <c r="D175" s="83" t="s">
        <v>2</v>
      </c>
      <c r="E175" s="83" t="s">
        <v>3</v>
      </c>
      <c r="F175" s="83" t="s">
        <v>4</v>
      </c>
      <c r="G175" s="83" t="s">
        <v>5</v>
      </c>
      <c r="H175" s="83" t="s">
        <v>6</v>
      </c>
      <c r="I175" s="83" t="s">
        <v>167</v>
      </c>
      <c r="J175" s="83" t="s">
        <v>166</v>
      </c>
      <c r="K175" s="93"/>
      <c r="L175" s="93"/>
    </row>
    <row r="176" spans="1:20">
      <c r="A176" s="96"/>
      <c r="B176" s="96"/>
      <c r="C176" s="96"/>
      <c r="D176" s="94"/>
      <c r="E176" s="94"/>
      <c r="F176" s="94"/>
      <c r="G176" s="94"/>
      <c r="H176" s="94"/>
      <c r="I176" s="94"/>
      <c r="J176" s="94"/>
      <c r="K176" s="93"/>
      <c r="L176" s="93"/>
    </row>
    <row r="177" spans="1:12">
      <c r="A177" s="96" t="s">
        <v>127</v>
      </c>
      <c r="B177" s="96"/>
      <c r="C177" s="96"/>
      <c r="D177" s="94"/>
      <c r="E177" s="94"/>
      <c r="F177" s="94"/>
      <c r="G177" s="94"/>
      <c r="H177" s="94"/>
      <c r="I177" s="94"/>
      <c r="J177" s="94"/>
      <c r="K177" s="93"/>
      <c r="L177" s="93"/>
    </row>
    <row r="178" spans="1:12">
      <c r="A178" s="94" t="str">
        <f t="shared" ref="A178:A198" si="32">A120</f>
        <v>Soybean</v>
      </c>
      <c r="B178" s="94" t="s">
        <v>361</v>
      </c>
      <c r="C178" s="250">
        <v>6500</v>
      </c>
      <c r="D178" s="199">
        <f>(B120*(1-'5.Closing Stock &amp; W Capital'!$D$15))*C$178*D172</f>
        <v>3033587.6999999997</v>
      </c>
      <c r="E178" s="199">
        <f>((C120*(1-'5.Closing Stock &amp; W Capital'!$D$15))+(B120*'5.Closing Stock &amp; W Capital'!$D$15))*$C178*E$172</f>
        <v>5839656.3225000007</v>
      </c>
      <c r="F178" s="199">
        <f>((D120*(1-'5.Closing Stock &amp; W Capital'!$D$15))+(C120*'5.Closing Stock &amp; W Capital'!$D$15))*$C178*F$172</f>
        <v>7060675.371749999</v>
      </c>
      <c r="G178" s="199">
        <f>((E120*(1-'5.Closing Stock &amp; W Capital'!$D$15))+(D120*'5.Closing Stock &amp; W Capital'!$D$15))*$C178*G$172</f>
        <v>8389197.1851187497</v>
      </c>
      <c r="H178" s="199">
        <f>((F120*(1-'5.Closing Stock &amp; W Capital'!$D$15))+(E120*'5.Closing Stock &amp; W Capital'!$D$15))*$C178*H$172</f>
        <v>9832919.4913950004</v>
      </c>
      <c r="I178" s="199">
        <f>((G120*(1-'5.Closing Stock &amp; W Capital'!$D$15))+(F120*'5.Closing Stock &amp; W Capital'!$D$15))*$C178*I$172</f>
        <v>11400041.035336077</v>
      </c>
      <c r="J178" s="199">
        <f>((H120*(1-'5.Closing Stock &amp; W Capital'!$D$15))+(G120*'5.Closing Stock &amp; W Capital'!$D$15))*$C178*J$172</f>
        <v>13099292.43494278</v>
      </c>
      <c r="K178" s="93"/>
      <c r="L178" s="93"/>
    </row>
    <row r="179" spans="1:12">
      <c r="A179" s="94" t="str">
        <f t="shared" si="32"/>
        <v>Tur</v>
      </c>
      <c r="B179" s="94" t="s">
        <v>361</v>
      </c>
      <c r="C179" s="250">
        <v>6500</v>
      </c>
      <c r="D179" s="199">
        <f>(B121*(1-'5.Closing Stock &amp; W Capital'!$D$15))*$C179*D$172</f>
        <v>323446.5</v>
      </c>
      <c r="E179" s="199">
        <f>((C121*(1-'5.Closing Stock &amp; W Capital'!$D$15))+(B121*'5.Closing Stock &amp; W Capital'!$D$15))*$C179*E$172</f>
        <v>622634.51250000007</v>
      </c>
      <c r="F179" s="199">
        <f>((D121*(1-'5.Closing Stock &amp; W Capital'!$D$15))+(C121*'5.Closing Stock &amp; W Capital'!$D$15))*$C179*F$172</f>
        <v>752821.72875000001</v>
      </c>
      <c r="G179" s="199">
        <f>((E121*(1-'5.Closing Stock &amp; W Capital'!$D$15))+(D121*'5.Closing Stock &amp; W Capital'!$D$15))*$C179*G$172</f>
        <v>894471.08034375007</v>
      </c>
      <c r="H179" s="199">
        <f>((F121*(1-'5.Closing Stock &amp; W Capital'!$D$15))+(E121*'5.Closing Stock &amp; W Capital'!$D$15))*$C179*H$172</f>
        <v>1048403.3127750002</v>
      </c>
      <c r="I179" s="199">
        <f>((G121*(1-'5.Closing Stock &amp; W Capital'!$D$15))+(F121*'5.Closing Stock &amp; W Capital'!$D$15))*$C179*I$172</f>
        <v>1215492.5907485161</v>
      </c>
      <c r="J179" s="199">
        <f>((H121*(1-'5.Closing Stock &amp; W Capital'!$D$15))+(G121*'5.Closing Stock &amp; W Capital'!$D$15))*$C179*J$172</f>
        <v>1396669.7882374458</v>
      </c>
      <c r="K179" s="93"/>
      <c r="L179" s="93"/>
    </row>
    <row r="180" spans="1:12">
      <c r="A180" s="94" t="str">
        <f t="shared" si="32"/>
        <v>Turmeric</v>
      </c>
      <c r="B180" s="94" t="s">
        <v>361</v>
      </c>
      <c r="C180" s="250">
        <v>10000</v>
      </c>
      <c r="D180" s="199">
        <f>(B122*(1-'5.Closing Stock &amp; W Capital'!$D$15))*$C180*D$172</f>
        <v>5444901</v>
      </c>
      <c r="E180" s="199">
        <f>((C122*(1-'5.Closing Stock &amp; W Capital'!$D$15))+(B122*'5.Closing Stock &amp; W Capital'!$D$15))*$C180*E$172</f>
        <v>10481434.424999999</v>
      </c>
      <c r="F180" s="199">
        <f>((D122*(1-'5.Closing Stock &amp; W Capital'!$D$15))+(C122*'5.Closing Stock &amp; W Capital'!$D$15))*$C180*F$172</f>
        <v>12673007.077500001</v>
      </c>
      <c r="G180" s="199">
        <f>((E122*(1-'5.Closing Stock &amp; W Capital'!$D$15))+(D122*'5.Closing Stock &amp; W Capital'!$D$15))*$C180*G$172</f>
        <v>15057533.409187496</v>
      </c>
      <c r="H180" s="199">
        <f>((F122*(1-'5.Closing Stock &amp; W Capital'!$D$15))+(E122*'5.Closing Stock &amp; W Capital'!$D$15))*$C180*H$172</f>
        <v>17648829.856349997</v>
      </c>
      <c r="I180" s="199">
        <f>((G122*(1-'5.Closing Stock &amp; W Capital'!$D$15))+(F122*'5.Closing Stock &amp; W Capital'!$D$15))*$C180*I$172</f>
        <v>20461612.114705779</v>
      </c>
      <c r="J180" s="199">
        <f>((H122*(1-'5.Closing Stock &amp; W Capital'!$D$15))+(G122*'5.Closing Stock &amp; W Capital'!$D$15))*$C180*J$172</f>
        <v>23511550.524256267</v>
      </c>
      <c r="K180" s="93"/>
      <c r="L180" s="93"/>
    </row>
    <row r="181" spans="1:12">
      <c r="A181" s="94" t="str">
        <f t="shared" si="32"/>
        <v>Moong</v>
      </c>
      <c r="B181" s="94" t="s">
        <v>361</v>
      </c>
      <c r="C181" s="250">
        <v>5500</v>
      </c>
      <c r="D181" s="199">
        <f>(B123*(1-'5.Closing Stock &amp; W Capital'!$D$15))*$C181*D$172</f>
        <v>199646.37</v>
      </c>
      <c r="E181" s="199">
        <f>((C123*(1-'5.Closing Stock &amp; W Capital'!$D$15))+(B123*'5.Closing Stock &amp; W Capital'!$D$15))*$C181*E$172</f>
        <v>384319.26224999991</v>
      </c>
      <c r="F181" s="199">
        <f>((D123*(1-'5.Closing Stock &amp; W Capital'!$D$15))+(C123*'5.Closing Stock &amp; W Capital'!$D$15))*$C181*F$172</f>
        <v>464676.92617499991</v>
      </c>
      <c r="G181" s="199">
        <f>((E123*(1-'5.Closing Stock &amp; W Capital'!$D$15))+(D123*'5.Closing Stock &amp; W Capital'!$D$15))*$C181*G$172</f>
        <v>552109.55833687505</v>
      </c>
      <c r="H181" s="199">
        <f>((F123*(1-'5.Closing Stock &amp; W Capital'!$D$15))+(E123*'5.Closing Stock &amp; W Capital'!$D$15))*$C181*H$172</f>
        <v>647123.76139949996</v>
      </c>
      <c r="I181" s="199">
        <f>((G123*(1-'5.Closing Stock &amp; W Capital'!$D$15))+(F123*'5.Closing Stock &amp; W Capital'!$D$15))*$C181*I$172</f>
        <v>750259.1108725454</v>
      </c>
      <c r="J181" s="199">
        <f>((H123*(1-'5.Closing Stock &amp; W Capital'!$D$15))+(G123*'5.Closing Stock &amp; W Capital'!$D$15))*$C181*J$172</f>
        <v>862090.18588939658</v>
      </c>
      <c r="K181" s="93"/>
      <c r="L181" s="93"/>
    </row>
    <row r="182" spans="1:12">
      <c r="A182" s="94" t="str">
        <f t="shared" si="32"/>
        <v>Maize</v>
      </c>
      <c r="B182" s="94" t="s">
        <v>361</v>
      </c>
      <c r="C182" s="250"/>
      <c r="D182" s="199">
        <f>(B124*(1-'5.Closing Stock &amp; W Capital'!$D$15))*$C182*D$172</f>
        <v>0</v>
      </c>
      <c r="E182" s="199">
        <f>((C124*(1-'5.Closing Stock &amp; W Capital'!$D$15))+(B124*'5.Closing Stock &amp; W Capital'!$D$15))*$C182*E$172</f>
        <v>0</v>
      </c>
      <c r="F182" s="199">
        <f>((D124*(1-'5.Closing Stock &amp; W Capital'!$D$15))+(C124*'5.Closing Stock &amp; W Capital'!$D$15))*$C182*F$172</f>
        <v>0</v>
      </c>
      <c r="G182" s="199">
        <f>((E124*(1-'5.Closing Stock &amp; W Capital'!$D$15))+(D124*'5.Closing Stock &amp; W Capital'!$D$15))*$C182*G$172</f>
        <v>0</v>
      </c>
      <c r="H182" s="199">
        <f>((F124*(1-'5.Closing Stock &amp; W Capital'!$D$15))+(E124*'5.Closing Stock &amp; W Capital'!$D$15))*$C182*H$172</f>
        <v>0</v>
      </c>
      <c r="I182" s="199">
        <f>((G124*(1-'5.Closing Stock &amp; W Capital'!$D$15))+(F124*'5.Closing Stock &amp; W Capital'!$D$15))*$C182*I$172</f>
        <v>0</v>
      </c>
      <c r="J182" s="199">
        <f>((H124*(1-'5.Closing Stock &amp; W Capital'!$D$15))+(G124*'5.Closing Stock &amp; W Capital'!$D$15))*$C182*J$172</f>
        <v>0</v>
      </c>
      <c r="K182" s="93"/>
      <c r="L182" s="93"/>
    </row>
    <row r="183" spans="1:12">
      <c r="A183" s="94" t="str">
        <f t="shared" si="32"/>
        <v>Udid</v>
      </c>
      <c r="B183" s="94" t="s">
        <v>361</v>
      </c>
      <c r="C183" s="250">
        <v>6000</v>
      </c>
      <c r="D183" s="199">
        <f>(B125*(1-'5.Closing Stock &amp; W Capital'!$D$15))*$C183*D$172</f>
        <v>248909.75999999995</v>
      </c>
      <c r="E183" s="199">
        <f>((C125*(1-'5.Closing Stock &amp; W Capital'!$D$15))+(B125*'5.Closing Stock &amp; W Capital'!$D$15))*$C183*E$172</f>
        <v>479151.28799999994</v>
      </c>
      <c r="F183" s="199">
        <f>((D125*(1-'5.Closing Stock &amp; W Capital'!$D$15))+(C125*'5.Closing Stock &amp; W Capital'!$D$15))*$C183*F$172</f>
        <v>579337.46639999992</v>
      </c>
      <c r="G183" s="199">
        <f>((E125*(1-'5.Closing Stock &amp; W Capital'!$D$15))+(D125*'5.Closing Stock &amp; W Capital'!$D$15))*$C183*G$172</f>
        <v>688344.38441999978</v>
      </c>
      <c r="H183" s="199">
        <f>((F125*(1-'5.Closing Stock &amp; W Capital'!$D$15))+(E125*'5.Closing Stock &amp; W Capital'!$D$15))*$C183*H$172</f>
        <v>806803.6505760001</v>
      </c>
      <c r="I183" s="199">
        <f>((G125*(1-'5.Closing Stock &amp; W Capital'!$D$15))+(F125*'5.Closing Stock &amp; W Capital'!$D$15))*$C183*I$172</f>
        <v>935387.98238655005</v>
      </c>
      <c r="J183" s="199">
        <f>((H125*(1-'5.Closing Stock &amp; W Capital'!$D$15))+(G125*'5.Closing Stock &amp; W Capital'!$D$15))*$C183*J$172</f>
        <v>1074813.7382517152</v>
      </c>
      <c r="K183" s="93"/>
      <c r="L183" s="93"/>
    </row>
    <row r="184" spans="1:12">
      <c r="A184" s="94" t="str">
        <f t="shared" si="32"/>
        <v>Bajra</v>
      </c>
      <c r="B184" s="94" t="s">
        <v>361</v>
      </c>
      <c r="C184" s="250">
        <v>0</v>
      </c>
      <c r="D184" s="199">
        <f>(B126*(1-'5.Closing Stock &amp; W Capital'!$D$15))*$C184*D$172</f>
        <v>0</v>
      </c>
      <c r="E184" s="199">
        <f>((C126*(1-'5.Closing Stock &amp; W Capital'!$D$15))+(B126*'5.Closing Stock &amp; W Capital'!$D$15))*$C184*E$172</f>
        <v>0</v>
      </c>
      <c r="F184" s="199">
        <f>((D126*(1-'5.Closing Stock &amp; W Capital'!$D$15))+(C126*'5.Closing Stock &amp; W Capital'!$D$15))*$C184*F$172</f>
        <v>0</v>
      </c>
      <c r="G184" s="199">
        <f>((E126*(1-'5.Closing Stock &amp; W Capital'!$D$15))+(D126*'5.Closing Stock &amp; W Capital'!$D$15))*$C184*G$172</f>
        <v>0</v>
      </c>
      <c r="H184" s="199">
        <f>((F126*(1-'5.Closing Stock &amp; W Capital'!$D$15))+(E126*'5.Closing Stock &amp; W Capital'!$D$15))*$C184*H$172</f>
        <v>0</v>
      </c>
      <c r="I184" s="199">
        <f>((G126*(1-'5.Closing Stock &amp; W Capital'!$D$15))+(F126*'5.Closing Stock &amp; W Capital'!$D$15))*$C184*I$172</f>
        <v>0</v>
      </c>
      <c r="J184" s="199">
        <f>((H126*(1-'5.Closing Stock &amp; W Capital'!$D$15))+(G126*'5.Closing Stock &amp; W Capital'!$D$15))*$C184*J$172</f>
        <v>0</v>
      </c>
      <c r="K184" s="93"/>
      <c r="L184" s="93"/>
    </row>
    <row r="185" spans="1:12">
      <c r="A185" s="94" t="str">
        <f t="shared" si="32"/>
        <v>Jawar</v>
      </c>
      <c r="B185" s="94" t="s">
        <v>361</v>
      </c>
      <c r="C185" s="250">
        <v>2000</v>
      </c>
      <c r="D185" s="199">
        <f>(B127*(1-'5.Closing Stock &amp; W Capital'!$D$15))*$C185*D$172</f>
        <v>101617.2</v>
      </c>
      <c r="E185" s="199">
        <f>((C127*(1-'5.Closing Stock &amp; W Capital'!$D$15))+(B127*'5.Closing Stock &amp; W Capital'!$D$15))*$C185*E$172</f>
        <v>195613.11000000002</v>
      </c>
      <c r="F185" s="199">
        <f>((D127*(1-'5.Closing Stock &amp; W Capital'!$D$15))+(C127*'5.Closing Stock &amp; W Capital'!$D$15))*$C185*F$172</f>
        <v>236514.033</v>
      </c>
      <c r="G185" s="199">
        <f>((E127*(1-'5.Closing Stock &amp; W Capital'!$D$15))+(D127*'5.Closing Stock &amp; W Capital'!$D$15))*$C185*G$172</f>
        <v>281016.015525</v>
      </c>
      <c r="H185" s="199">
        <f>((F127*(1-'5.Closing Stock &amp; W Capital'!$D$15))+(E127*'5.Closing Stock &amp; W Capital'!$D$15))*$C185*H$172</f>
        <v>329376.91122000007</v>
      </c>
      <c r="I185" s="199">
        <f>((G127*(1-'5.Closing Stock &amp; W Capital'!$D$15))+(F127*'5.Closing Stock &amp; W Capital'!$D$15))*$C185*I$172</f>
        <v>381871.35644568753</v>
      </c>
      <c r="J185" s="199">
        <f>((H127*(1-'5.Closing Stock &amp; W Capital'!$D$15))+(G127*'5.Closing Stock &amp; W Capital'!$D$15))*$C185*J$172</f>
        <v>438791.80391589389</v>
      </c>
      <c r="K185" s="93"/>
      <c r="L185" s="93"/>
    </row>
    <row r="186" spans="1:12">
      <c r="A186" s="94" t="str">
        <f t="shared" si="32"/>
        <v>Channa</v>
      </c>
      <c r="B186" s="94" t="s">
        <v>361</v>
      </c>
      <c r="C186" s="250">
        <v>5200</v>
      </c>
      <c r="D186" s="199">
        <f>(B128*(1-'5.Closing Stock &amp; W Capital'!$D$15))*$C186*D$172</f>
        <v>0</v>
      </c>
      <c r="E186" s="199">
        <f>((C128*(1-'5.Closing Stock &amp; W Capital'!$D$15))+(B128*'5.Closing Stock &amp; W Capital'!$D$15))*$C186*E$172</f>
        <v>0</v>
      </c>
      <c r="F186" s="199">
        <f>((D128*(1-'5.Closing Stock &amp; W Capital'!$D$15))+(C128*'5.Closing Stock &amp; W Capital'!$D$15))*$C186*F$172</f>
        <v>0</v>
      </c>
      <c r="G186" s="199">
        <f>((E128*(1-'5.Closing Stock &amp; W Capital'!$D$15))+(D128*'5.Closing Stock &amp; W Capital'!$D$15))*$C186*G$172</f>
        <v>0</v>
      </c>
      <c r="H186" s="199">
        <f>((F128*(1-'5.Closing Stock &amp; W Capital'!$D$15))+(E128*'5.Closing Stock &amp; W Capital'!$D$15))*$C186*H$172</f>
        <v>0</v>
      </c>
      <c r="I186" s="199">
        <f>((G128*(1-'5.Closing Stock &amp; W Capital'!$D$15))+(F128*'5.Closing Stock &amp; W Capital'!$D$15))*$C186*I$172</f>
        <v>0</v>
      </c>
      <c r="J186" s="199">
        <f>((H128*(1-'5.Closing Stock &amp; W Capital'!$D$15))+(G128*'5.Closing Stock &amp; W Capital'!$D$15))*$C186*J$172</f>
        <v>0</v>
      </c>
      <c r="K186" s="93"/>
      <c r="L186" s="93"/>
    </row>
    <row r="187" spans="1:12">
      <c r="A187" s="94" t="str">
        <f t="shared" si="32"/>
        <v>Wheat</v>
      </c>
      <c r="B187" s="94" t="s">
        <v>361</v>
      </c>
      <c r="C187" s="250">
        <v>2200</v>
      </c>
      <c r="D187" s="199">
        <f>(B129*(1-'5.Closing Stock &amp; W Capital'!$D$15))*$C187*D$172</f>
        <v>295580.33999999997</v>
      </c>
      <c r="E187" s="199">
        <f>((C129*(1-'5.Closing Stock &amp; W Capital'!$D$15))+(B129*'5.Closing Stock &amp; W Capital'!$D$15))*$C187*E$172</f>
        <v>568992.15449999995</v>
      </c>
      <c r="F187" s="199">
        <f>((D129*(1-'5.Closing Stock &amp; W Capital'!$D$15))+(C129*'5.Closing Stock &amp; W Capital'!$D$15))*$C187*F$172</f>
        <v>687963.24134999991</v>
      </c>
      <c r="G187" s="199">
        <f>((E129*(1-'5.Closing Stock &amp; W Capital'!$D$15))+(D129*'5.Closing Stock &amp; W Capital'!$D$15))*$C187*G$172</f>
        <v>817408.95649875002</v>
      </c>
      <c r="H187" s="199">
        <f>((F129*(1-'5.Closing Stock &amp; W Capital'!$D$15))+(E129*'5.Closing Stock &amp; W Capital'!$D$15))*$C187*H$172</f>
        <v>958079.33505899971</v>
      </c>
      <c r="I187" s="199">
        <f>((G129*(1-'5.Closing Stock &amp; W Capital'!$D$15))+(F129*'5.Closing Stock &amp; W Capital'!$D$15))*$C187*I$172</f>
        <v>1110773.2290840279</v>
      </c>
      <c r="J187" s="199">
        <f>((H129*(1-'5.Closing Stock &amp; W Capital'!$D$15))+(G129*'5.Closing Stock &amp; W Capital'!$D$15))*$C187*J$172</f>
        <v>1276341.3141739117</v>
      </c>
      <c r="K187" s="93"/>
      <c r="L187" s="93"/>
    </row>
    <row r="188" spans="1:12">
      <c r="A188" s="94" t="str">
        <f t="shared" si="32"/>
        <v>Channa</v>
      </c>
      <c r="B188" s="94" t="s">
        <v>361</v>
      </c>
      <c r="C188" s="250">
        <v>0</v>
      </c>
      <c r="D188" s="199">
        <f>(B130*(1-'5.Closing Stock &amp; W Capital'!$D$15))*$C188*D$172</f>
        <v>0</v>
      </c>
      <c r="E188" s="199">
        <f>((C130*(1-'5.Closing Stock &amp; W Capital'!$D$15))+(B130*'5.Closing Stock &amp; W Capital'!$D$15))*$C188*E$172</f>
        <v>0</v>
      </c>
      <c r="F188" s="199">
        <f>((D130*(1-'5.Closing Stock &amp; W Capital'!$D$15))+(C130*'5.Closing Stock &amp; W Capital'!$D$15))*$C188*F$172</f>
        <v>0</v>
      </c>
      <c r="G188" s="199">
        <f>((E130*(1-'5.Closing Stock &amp; W Capital'!$D$15))+(D130*'5.Closing Stock &amp; W Capital'!$D$15))*$C188*G$172</f>
        <v>0</v>
      </c>
      <c r="H188" s="199">
        <f>((F130*(1-'5.Closing Stock &amp; W Capital'!$D$15))+(E130*'5.Closing Stock &amp; W Capital'!$D$15))*$C188*H$172</f>
        <v>0</v>
      </c>
      <c r="I188" s="199">
        <f>((G130*(1-'5.Closing Stock &amp; W Capital'!$D$15))+(F130*'5.Closing Stock &amp; W Capital'!$D$15))*$C188*I$172</f>
        <v>0</v>
      </c>
      <c r="J188" s="199">
        <f>((H130*(1-'5.Closing Stock &amp; W Capital'!$D$15))+(G130*'5.Closing Stock &amp; W Capital'!$D$15))*$C188*J$172</f>
        <v>0</v>
      </c>
      <c r="K188" s="93"/>
      <c r="L188" s="93"/>
    </row>
    <row r="189" spans="1:12">
      <c r="A189" s="94" t="str">
        <f t="shared" si="32"/>
        <v>Jawar</v>
      </c>
      <c r="B189" s="94" t="s">
        <v>361</v>
      </c>
      <c r="C189" s="250"/>
      <c r="D189" s="199">
        <f>(B131*(1-'5.Closing Stock &amp; W Capital'!$D$15))*$C189*D$172</f>
        <v>0</v>
      </c>
      <c r="E189" s="199">
        <f>((C131*(1-'5.Closing Stock &amp; W Capital'!$D$15))+(B131*'5.Closing Stock &amp; W Capital'!$D$15))*$C189*E$172</f>
        <v>0</v>
      </c>
      <c r="F189" s="199">
        <f>((D131*(1-'5.Closing Stock &amp; W Capital'!$D$15))+(C131*'5.Closing Stock &amp; W Capital'!$D$15))*$C189*F$172</f>
        <v>0</v>
      </c>
      <c r="G189" s="199">
        <f>((E131*(1-'5.Closing Stock &amp; W Capital'!$D$15))+(D131*'5.Closing Stock &amp; W Capital'!$D$15))*$C189*G$172</f>
        <v>0</v>
      </c>
      <c r="H189" s="199">
        <f>((F131*(1-'5.Closing Stock &amp; W Capital'!$D$15))+(E131*'5.Closing Stock &amp; W Capital'!$D$15))*$C189*H$172</f>
        <v>0</v>
      </c>
      <c r="I189" s="199">
        <f>((G131*(1-'5.Closing Stock &amp; W Capital'!$D$15))+(F131*'5.Closing Stock &amp; W Capital'!$D$15))*$C189*I$172</f>
        <v>0</v>
      </c>
      <c r="J189" s="199">
        <f>((H131*(1-'5.Closing Stock &amp; W Capital'!$D$15))+(G131*'5.Closing Stock &amp; W Capital'!$D$15))*$C189*J$172</f>
        <v>0</v>
      </c>
      <c r="K189" s="93"/>
      <c r="L189" s="93"/>
    </row>
    <row r="190" spans="1:12">
      <c r="A190" s="94" t="str">
        <f t="shared" si="32"/>
        <v>Maize</v>
      </c>
      <c r="B190" s="94" t="s">
        <v>361</v>
      </c>
      <c r="C190" s="250"/>
      <c r="D190" s="199">
        <f>(B132*(1-'5.Closing Stock &amp; W Capital'!$D$15))*$C190*D$172</f>
        <v>0</v>
      </c>
      <c r="E190" s="199">
        <f>((C132*(1-'5.Closing Stock &amp; W Capital'!$D$15))+(B132*'5.Closing Stock &amp; W Capital'!$D$15))*$C190*E$172</f>
        <v>0</v>
      </c>
      <c r="F190" s="199">
        <f>((D132*(1-'5.Closing Stock &amp; W Capital'!$D$15))+(C132*'5.Closing Stock &amp; W Capital'!$D$15))*$C190*F$172</f>
        <v>0</v>
      </c>
      <c r="G190" s="199">
        <f>((E132*(1-'5.Closing Stock &amp; W Capital'!$D$15))+(D132*'5.Closing Stock &amp; W Capital'!$D$15))*$C190*G$172</f>
        <v>0</v>
      </c>
      <c r="H190" s="199">
        <f>((F132*(1-'5.Closing Stock &amp; W Capital'!$D$15))+(E132*'5.Closing Stock &amp; W Capital'!$D$15))*$C190*H$172</f>
        <v>0</v>
      </c>
      <c r="I190" s="199">
        <f>((G132*(1-'5.Closing Stock &amp; W Capital'!$D$15))+(F132*'5.Closing Stock &amp; W Capital'!$D$15))*$C190*I$172</f>
        <v>0</v>
      </c>
      <c r="J190" s="199">
        <f>((H132*(1-'5.Closing Stock &amp; W Capital'!$D$15))+(G132*'5.Closing Stock &amp; W Capital'!$D$15))*$C190*J$172</f>
        <v>0</v>
      </c>
      <c r="K190" s="93"/>
      <c r="L190" s="93"/>
    </row>
    <row r="191" spans="1:12">
      <c r="A191" s="94" t="str">
        <f t="shared" si="32"/>
        <v>Safflower</v>
      </c>
      <c r="B191" s="94" t="s">
        <v>361</v>
      </c>
      <c r="C191" s="250"/>
      <c r="D191" s="199">
        <f>(B133*(1-'5.Closing Stock &amp; W Capital'!$D$15))*$C191*D$172</f>
        <v>0</v>
      </c>
      <c r="E191" s="199">
        <f>((C133*(1-'5.Closing Stock &amp; W Capital'!$D$15))+(B133*'5.Closing Stock &amp; W Capital'!$D$15))*$C191*E$172</f>
        <v>0</v>
      </c>
      <c r="F191" s="199">
        <f>((D133*(1-'5.Closing Stock &amp; W Capital'!$D$15))+(C133*'5.Closing Stock &amp; W Capital'!$D$15))*$C191*F$172</f>
        <v>0</v>
      </c>
      <c r="G191" s="199">
        <f>((E133*(1-'5.Closing Stock &amp; W Capital'!$D$15))+(D133*'5.Closing Stock &amp; W Capital'!$D$15))*$C191*G$172</f>
        <v>0</v>
      </c>
      <c r="H191" s="199">
        <f>((F133*(1-'5.Closing Stock &amp; W Capital'!$D$15))+(E133*'5.Closing Stock &amp; W Capital'!$D$15))*$C191*H$172</f>
        <v>0</v>
      </c>
      <c r="I191" s="199">
        <f>((G133*(1-'5.Closing Stock &amp; W Capital'!$D$15))+(F133*'5.Closing Stock &amp; W Capital'!$D$15))*$C191*I$172</f>
        <v>0</v>
      </c>
      <c r="J191" s="199">
        <f>((H133*(1-'5.Closing Stock &amp; W Capital'!$D$15))+(G133*'5.Closing Stock &amp; W Capital'!$D$15))*$C191*J$172</f>
        <v>0</v>
      </c>
      <c r="K191" s="93"/>
      <c r="L191" s="93"/>
    </row>
    <row r="192" spans="1:12">
      <c r="A192" s="94" t="str">
        <f t="shared" si="32"/>
        <v>Groundnut</v>
      </c>
      <c r="B192" s="94" t="s">
        <v>361</v>
      </c>
      <c r="C192" s="250"/>
      <c r="D192" s="199">
        <f>(B134*(1-'5.Closing Stock &amp; W Capital'!$D$15))*$C192*D$172</f>
        <v>0</v>
      </c>
      <c r="E192" s="199">
        <f>((C134*(1-'5.Closing Stock &amp; W Capital'!$D$15))+(B134*'5.Closing Stock &amp; W Capital'!$D$15))*$C192*E$172</f>
        <v>0</v>
      </c>
      <c r="F192" s="199">
        <f>((D134*(1-'5.Closing Stock &amp; W Capital'!$D$15))+(C134*'5.Closing Stock &amp; W Capital'!$D$15))*$C192*F$172</f>
        <v>0</v>
      </c>
      <c r="G192" s="199">
        <f>((E134*(1-'5.Closing Stock &amp; W Capital'!$D$15))+(D134*'5.Closing Stock &amp; W Capital'!$D$15))*$C192*G$172</f>
        <v>0</v>
      </c>
      <c r="H192" s="199">
        <f>((F134*(1-'5.Closing Stock &amp; W Capital'!$D$15))+(E134*'5.Closing Stock &amp; W Capital'!$D$15))*$C192*H$172</f>
        <v>0</v>
      </c>
      <c r="I192" s="199">
        <f>((G134*(1-'5.Closing Stock &amp; W Capital'!$D$15))+(F134*'5.Closing Stock &amp; W Capital'!$D$15))*$C192*I$172</f>
        <v>0</v>
      </c>
      <c r="J192" s="199">
        <f>((H134*(1-'5.Closing Stock &amp; W Capital'!$D$15))+(G134*'5.Closing Stock &amp; W Capital'!$D$15))*$C192*J$172</f>
        <v>0</v>
      </c>
      <c r="K192" s="93"/>
      <c r="L192" s="93"/>
    </row>
    <row r="193" spans="1:12">
      <c r="A193" s="94">
        <f t="shared" si="32"/>
        <v>0</v>
      </c>
      <c r="B193" s="94" t="s">
        <v>361</v>
      </c>
      <c r="C193" s="250"/>
      <c r="D193" s="199">
        <f>(B135*(1-'5.Closing Stock &amp; W Capital'!$D$15))*$C193*D$172</f>
        <v>0</v>
      </c>
      <c r="E193" s="199">
        <f>((C135*(1-'5.Closing Stock &amp; W Capital'!$D$15))+(B135*'5.Closing Stock &amp; W Capital'!$D$15))*$C193*E$172</f>
        <v>0</v>
      </c>
      <c r="F193" s="199">
        <f>((D135*(1-'5.Closing Stock &amp; W Capital'!$D$15))+(C135*'5.Closing Stock &amp; W Capital'!$D$15))*$C193*F$172</f>
        <v>0</v>
      </c>
      <c r="G193" s="199">
        <f>((E135*(1-'5.Closing Stock &amp; W Capital'!$D$15))+(D135*'5.Closing Stock &amp; W Capital'!$D$15))*$C193*G$172</f>
        <v>0</v>
      </c>
      <c r="H193" s="199">
        <f>((F135*(1-'5.Closing Stock &amp; W Capital'!$D$15))+(E135*'5.Closing Stock &amp; W Capital'!$D$15))*$C193*H$172</f>
        <v>0</v>
      </c>
      <c r="I193" s="199">
        <f>((G135*(1-'5.Closing Stock &amp; W Capital'!$D$15))+(F135*'5.Closing Stock &amp; W Capital'!$D$15))*$C193*I$172</f>
        <v>0</v>
      </c>
      <c r="J193" s="199">
        <f>((H135*(1-'5.Closing Stock &amp; W Capital'!$D$15))+(G135*'5.Closing Stock &amp; W Capital'!$D$15))*$C193*J$172</f>
        <v>0</v>
      </c>
      <c r="K193" s="93"/>
      <c r="L193" s="93"/>
    </row>
    <row r="194" spans="1:12">
      <c r="A194" s="94">
        <f t="shared" si="32"/>
        <v>0</v>
      </c>
      <c r="B194" s="94" t="s">
        <v>361</v>
      </c>
      <c r="C194" s="250"/>
      <c r="D194" s="199">
        <f>(B136*(1-'5.Closing Stock &amp; W Capital'!$D$15))*$C194*D$172</f>
        <v>0</v>
      </c>
      <c r="E194" s="199">
        <f>((C136*(1-'5.Closing Stock &amp; W Capital'!$D$15))+(B136*'5.Closing Stock &amp; W Capital'!$D$15))*$C194*E$172</f>
        <v>0</v>
      </c>
      <c r="F194" s="199">
        <f>((D136*(1-'5.Closing Stock &amp; W Capital'!$D$15))+(C136*'5.Closing Stock &amp; W Capital'!$D$15))*$C194*F$172</f>
        <v>0</v>
      </c>
      <c r="G194" s="199">
        <f>((E136*(1-'5.Closing Stock &amp; W Capital'!$D$15))+(D136*'5.Closing Stock &amp; W Capital'!$D$15))*$C194*G$172</f>
        <v>0</v>
      </c>
      <c r="H194" s="199">
        <f>((F136*(1-'5.Closing Stock &amp; W Capital'!$D$15))+(E136*'5.Closing Stock &amp; W Capital'!$D$15))*$C194*H$172</f>
        <v>0</v>
      </c>
      <c r="I194" s="199">
        <f>((G136*(1-'5.Closing Stock &amp; W Capital'!$D$15))+(F136*'5.Closing Stock &amp; W Capital'!$D$15))*$C194*I$172</f>
        <v>0</v>
      </c>
      <c r="J194" s="199">
        <f>((H136*(1-'5.Closing Stock &amp; W Capital'!$D$15))+(G136*'5.Closing Stock &amp; W Capital'!$D$15))*$C194*J$172</f>
        <v>0</v>
      </c>
      <c r="K194" s="93"/>
      <c r="L194" s="93"/>
    </row>
    <row r="195" spans="1:12">
      <c r="A195" s="94" t="str">
        <f t="shared" si="32"/>
        <v>Soybean</v>
      </c>
      <c r="B195" s="94" t="s">
        <v>361</v>
      </c>
      <c r="C195" s="250"/>
      <c r="D195" s="199">
        <f>(B137*(1-'5.Closing Stock &amp; W Capital'!$D$15))*$C195*D$172</f>
        <v>0</v>
      </c>
      <c r="E195" s="199">
        <f>((C137*(1-'5.Closing Stock &amp; W Capital'!$D$15))+(B137*'5.Closing Stock &amp; W Capital'!$D$15))*$C195*E$172</f>
        <v>0</v>
      </c>
      <c r="F195" s="199">
        <f>((D137*(1-'5.Closing Stock &amp; W Capital'!$D$15))+(C137*'5.Closing Stock &amp; W Capital'!$D$15))*$C195*F$172</f>
        <v>0</v>
      </c>
      <c r="G195" s="199">
        <f>((E137*(1-'5.Closing Stock &amp; W Capital'!$D$15))+(D137*'5.Closing Stock &amp; W Capital'!$D$15))*$C195*G$172</f>
        <v>0</v>
      </c>
      <c r="H195" s="199">
        <f>((F137*(1-'5.Closing Stock &amp; W Capital'!$D$15))+(E137*'5.Closing Stock &amp; W Capital'!$D$15))*$C195*H$172</f>
        <v>0</v>
      </c>
      <c r="I195" s="199">
        <f>((G137*(1-'5.Closing Stock &amp; W Capital'!$D$15))+(F137*'5.Closing Stock &amp; W Capital'!$D$15))*$C195*I$172</f>
        <v>0</v>
      </c>
      <c r="J195" s="199">
        <f>((H137*(1-'5.Closing Stock &amp; W Capital'!$D$15))+(G137*'5.Closing Stock &amp; W Capital'!$D$15))*$C195*J$172</f>
        <v>0</v>
      </c>
      <c r="K195" s="93"/>
      <c r="L195" s="93"/>
    </row>
    <row r="196" spans="1:12">
      <c r="A196" s="94" t="str">
        <f t="shared" si="32"/>
        <v>Paddy</v>
      </c>
      <c r="B196" s="94" t="s">
        <v>361</v>
      </c>
      <c r="C196" s="250"/>
      <c r="D196" s="199">
        <f>(B138*(1-'5.Closing Stock &amp; W Capital'!$D$15))*$C196*D$172</f>
        <v>0</v>
      </c>
      <c r="E196" s="199">
        <f>((C138*(1-'5.Closing Stock &amp; W Capital'!$D$15))+(B138*'5.Closing Stock &amp; W Capital'!$D$15))*$C196*E$172</f>
        <v>0</v>
      </c>
      <c r="F196" s="199">
        <f>((D138*(1-'5.Closing Stock &amp; W Capital'!$D$15))+(C138*'5.Closing Stock &amp; W Capital'!$D$15))*$C196*F$172</f>
        <v>0</v>
      </c>
      <c r="G196" s="199">
        <f>((E138*(1-'5.Closing Stock &amp; W Capital'!$D$15))+(D138*'5.Closing Stock &amp; W Capital'!$D$15))*$C196*G$172</f>
        <v>0</v>
      </c>
      <c r="H196" s="199">
        <f>((F138*(1-'5.Closing Stock &amp; W Capital'!$D$15))+(E138*'5.Closing Stock &amp; W Capital'!$D$15))*$C196*H$172</f>
        <v>0</v>
      </c>
      <c r="I196" s="199">
        <f>((G138*(1-'5.Closing Stock &amp; W Capital'!$D$15))+(F138*'5.Closing Stock &amp; W Capital'!$D$15))*$C196*I$172</f>
        <v>0</v>
      </c>
      <c r="J196" s="199">
        <f>((H138*(1-'5.Closing Stock &amp; W Capital'!$D$15))+(G138*'5.Closing Stock &amp; W Capital'!$D$15))*$C196*J$172</f>
        <v>0</v>
      </c>
      <c r="K196" s="93"/>
      <c r="L196" s="93"/>
    </row>
    <row r="197" spans="1:12">
      <c r="A197" s="94">
        <f t="shared" si="32"/>
        <v>0</v>
      </c>
      <c r="B197" s="94" t="s">
        <v>361</v>
      </c>
      <c r="C197" s="250"/>
      <c r="D197" s="199">
        <f>(B139*(1-'5.Closing Stock &amp; W Capital'!$D$15))*$C197*D$172</f>
        <v>0</v>
      </c>
      <c r="E197" s="199">
        <f>((C139*(1-'5.Closing Stock &amp; W Capital'!$D$15))+(B139*'5.Closing Stock &amp; W Capital'!$D$15))*$C197*E$172</f>
        <v>0</v>
      </c>
      <c r="F197" s="199">
        <f>((D139*(1-'5.Closing Stock &amp; W Capital'!$D$15))+(C139*'5.Closing Stock &amp; W Capital'!$D$15))*$C197*F$172</f>
        <v>0</v>
      </c>
      <c r="G197" s="199">
        <f>((E139*(1-'5.Closing Stock &amp; W Capital'!$D$15))+(D139*'5.Closing Stock &amp; W Capital'!$D$15))*$C197*G$172</f>
        <v>0</v>
      </c>
      <c r="H197" s="199">
        <f>((F139*(1-'5.Closing Stock &amp; W Capital'!$D$15))+(E139*'5.Closing Stock &amp; W Capital'!$D$15))*$C197*H$172</f>
        <v>0</v>
      </c>
      <c r="I197" s="199">
        <f>((G139*(1-'5.Closing Stock &amp; W Capital'!$D$15))+(F139*'5.Closing Stock &amp; W Capital'!$D$15))*$C197*I$172</f>
        <v>0</v>
      </c>
      <c r="J197" s="199">
        <f>((H139*(1-'5.Closing Stock &amp; W Capital'!$D$15))+(G139*'5.Closing Stock &amp; W Capital'!$D$15))*$C197*J$172</f>
        <v>0</v>
      </c>
      <c r="K197" s="93"/>
      <c r="L197" s="93"/>
    </row>
    <row r="198" spans="1:12">
      <c r="A198" s="94">
        <f t="shared" si="32"/>
        <v>0</v>
      </c>
      <c r="B198" s="94" t="s">
        <v>361</v>
      </c>
      <c r="C198" s="250"/>
      <c r="D198" s="199">
        <f>(B140*(1-'5.Closing Stock &amp; W Capital'!$D$15))*$C198*D$172</f>
        <v>0</v>
      </c>
      <c r="E198" s="199">
        <f>((C140*(1-'5.Closing Stock &amp; W Capital'!$D$15))+(B140*'5.Closing Stock &amp; W Capital'!$D$15))*$C198*E$172</f>
        <v>0</v>
      </c>
      <c r="F198" s="199">
        <f>((D140*(1-'5.Closing Stock &amp; W Capital'!$D$15))+(C140*'5.Closing Stock &amp; W Capital'!$D$15))*$C198*F$172</f>
        <v>0</v>
      </c>
      <c r="G198" s="199">
        <f>((E140*(1-'5.Closing Stock &amp; W Capital'!$D$15))+(D140*'5.Closing Stock &amp; W Capital'!$D$15))*$C198*G$172</f>
        <v>0</v>
      </c>
      <c r="H198" s="199">
        <f>((F140*(1-'5.Closing Stock &amp; W Capital'!$D$15))+(E140*'5.Closing Stock &amp; W Capital'!$D$15))*$C198*H$172</f>
        <v>0</v>
      </c>
      <c r="I198" s="199">
        <f>((G140*(1-'5.Closing Stock &amp; W Capital'!$D$15))+(F140*'5.Closing Stock &amp; W Capital'!$D$15))*$C198*I$172</f>
        <v>0</v>
      </c>
      <c r="J198" s="199">
        <f>((H140*(1-'5.Closing Stock &amp; W Capital'!$D$15))+(G140*'5.Closing Stock &amp; W Capital'!$D$15))*$C198*J$172</f>
        <v>0</v>
      </c>
      <c r="K198" s="93"/>
      <c r="L198" s="93"/>
    </row>
    <row r="199" spans="1:12">
      <c r="A199" s="94"/>
      <c r="B199" s="94" t="s">
        <v>361</v>
      </c>
      <c r="C199" s="250"/>
      <c r="D199" s="199">
        <f>(B141*(1-'5.Closing Stock &amp; W Capital'!$D$15))*$C199*D$172</f>
        <v>0</v>
      </c>
      <c r="E199" s="199">
        <f>((C141*(1-'5.Closing Stock &amp; W Capital'!$D$15))+(B141*'5.Closing Stock &amp; W Capital'!$D$15))*$C199*E$172</f>
        <v>0</v>
      </c>
      <c r="F199" s="199">
        <f>((D141*(1-'5.Closing Stock &amp; W Capital'!$D$15))+(C141*'5.Closing Stock &amp; W Capital'!$D$15))*$C199*F$172</f>
        <v>0</v>
      </c>
      <c r="G199" s="199">
        <f>((E141*(1-'5.Closing Stock &amp; W Capital'!$D$15))+(D141*'5.Closing Stock &amp; W Capital'!$D$15))*$C199*G$172</f>
        <v>0</v>
      </c>
      <c r="H199" s="199">
        <f>((F141*(1-'5.Closing Stock &amp; W Capital'!$D$15))+(E141*'5.Closing Stock &amp; W Capital'!$D$15))*$C199*H$172</f>
        <v>0</v>
      </c>
      <c r="I199" s="199">
        <f>((G141*(1-'5.Closing Stock &amp; W Capital'!$D$15))+(F141*'5.Closing Stock &amp; W Capital'!$D$15))*$C199*I$172</f>
        <v>0</v>
      </c>
      <c r="J199" s="199">
        <f>((H141*(1-'5.Closing Stock &amp; W Capital'!$D$15))+(G141*'5.Closing Stock &amp; W Capital'!$D$15))*$C199*J$172</f>
        <v>0</v>
      </c>
      <c r="K199" s="93"/>
      <c r="L199" s="93"/>
    </row>
    <row r="200" spans="1:12">
      <c r="A200" s="96" t="s">
        <v>294</v>
      </c>
      <c r="B200" s="94" t="s">
        <v>361</v>
      </c>
      <c r="C200" s="234">
        <v>25</v>
      </c>
      <c r="D200" s="199">
        <f t="shared" ref="D200:J200" si="33">B65*$C$200*D172</f>
        <v>51828.75</v>
      </c>
      <c r="E200" s="199">
        <f t="shared" si="33"/>
        <v>63490.218750000015</v>
      </c>
      <c r="F200" s="199">
        <f t="shared" si="33"/>
        <v>76188.262499999997</v>
      </c>
      <c r="G200" s="199">
        <f t="shared" si="33"/>
        <v>89997.385078125022</v>
      </c>
      <c r="H200" s="199">
        <f t="shared" si="33"/>
        <v>104996.94925781249</v>
      </c>
      <c r="I200" s="199">
        <f t="shared" si="33"/>
        <v>121271.47639277343</v>
      </c>
      <c r="J200" s="199">
        <f t="shared" si="33"/>
        <v>138910.96386808599</v>
      </c>
      <c r="K200" s="93"/>
      <c r="L200" s="93"/>
    </row>
    <row r="201" spans="1:12">
      <c r="A201" s="96"/>
      <c r="B201" s="96"/>
      <c r="C201" s="96"/>
      <c r="D201" s="94"/>
      <c r="E201" s="94"/>
      <c r="F201" s="94"/>
      <c r="G201" s="94"/>
      <c r="H201" s="94"/>
      <c r="I201" s="94"/>
      <c r="J201" s="94"/>
      <c r="K201" s="93"/>
      <c r="L201" s="93"/>
    </row>
    <row r="202" spans="1:12">
      <c r="A202" s="96" t="str">
        <f t="shared" ref="A202:A220" si="34">A143</f>
        <v>Fruit  &amp; Vegetables Crop Production Details</v>
      </c>
      <c r="B202" s="96"/>
      <c r="C202" s="96"/>
      <c r="D202" s="94"/>
      <c r="E202" s="94"/>
      <c r="F202" s="94"/>
      <c r="G202" s="94"/>
      <c r="H202" s="94"/>
      <c r="I202" s="94"/>
      <c r="J202" s="94"/>
      <c r="K202" s="93"/>
      <c r="L202" s="93"/>
    </row>
    <row r="203" spans="1:12">
      <c r="A203" s="96" t="str">
        <f t="shared" si="34"/>
        <v>Onion</v>
      </c>
      <c r="B203" s="94" t="s">
        <v>361</v>
      </c>
      <c r="C203" s="332">
        <v>0</v>
      </c>
      <c r="D203" s="199">
        <f>(B144*(1-'5.Closing Stock &amp; W Capital'!$D$15))*$C203*D$172</f>
        <v>0</v>
      </c>
      <c r="E203" s="199">
        <f>((C144*(1-'5.Closing Stock &amp; W Capital'!$D$15))+(B144*'5.Closing Stock &amp; W Capital'!$D$15))*$C203*E$172</f>
        <v>0</v>
      </c>
      <c r="F203" s="199">
        <f>((D144*(1-'5.Closing Stock &amp; W Capital'!$D$15))+(C144*'5.Closing Stock &amp; W Capital'!$D$15))*$C203*F$172</f>
        <v>0</v>
      </c>
      <c r="G203" s="199">
        <f>((E144*(1-'5.Closing Stock &amp; W Capital'!$D$15))+(D144*'5.Closing Stock &amp; W Capital'!$D$15))*$C203*G$172</f>
        <v>0</v>
      </c>
      <c r="H203" s="199">
        <f>((F144*(1-'5.Closing Stock &amp; W Capital'!$D$15))+(E144*'5.Closing Stock &amp; W Capital'!$D$15))*$C203*H$172</f>
        <v>0</v>
      </c>
      <c r="I203" s="199">
        <f>((G144*(1-'5.Closing Stock &amp; W Capital'!$D$15))+(F144*'5.Closing Stock &amp; W Capital'!$D$15))*$C203*I$172</f>
        <v>0</v>
      </c>
      <c r="J203" s="199">
        <f>((H144*(1-'5.Closing Stock &amp; W Capital'!$D$15))+(G144*'5.Closing Stock &amp; W Capital'!$D$15))*$C203*J$172</f>
        <v>0</v>
      </c>
      <c r="K203" s="93"/>
      <c r="L203" s="93"/>
    </row>
    <row r="204" spans="1:12">
      <c r="A204" s="96" t="str">
        <f t="shared" si="34"/>
        <v>Tomato</v>
      </c>
      <c r="B204" s="94" t="s">
        <v>361</v>
      </c>
      <c r="C204" s="250">
        <v>0</v>
      </c>
      <c r="D204" s="199">
        <f>(B145*(1-'5.Closing Stock &amp; W Capital'!$D$15))*$C204*D$172</f>
        <v>0</v>
      </c>
      <c r="E204" s="199">
        <f>((C145*(1-'5.Closing Stock &amp; W Capital'!$D$15))+(B145*'5.Closing Stock &amp; W Capital'!$D$15))*$C204*E$172</f>
        <v>0</v>
      </c>
      <c r="F204" s="199">
        <f>((D145*(1-'5.Closing Stock &amp; W Capital'!$D$15))+(C145*'5.Closing Stock &amp; W Capital'!$D$15))*$C204*F$172</f>
        <v>0</v>
      </c>
      <c r="G204" s="199">
        <f>((E145*(1-'5.Closing Stock &amp; W Capital'!$D$15))+(D145*'5.Closing Stock &amp; W Capital'!$D$15))*$C204*G$172</f>
        <v>0</v>
      </c>
      <c r="H204" s="199">
        <f>((F145*(1-'5.Closing Stock &amp; W Capital'!$D$15))+(E145*'5.Closing Stock &amp; W Capital'!$D$15))*$C204*H$172</f>
        <v>0</v>
      </c>
      <c r="I204" s="199">
        <f>((G145*(1-'5.Closing Stock &amp; W Capital'!$D$15))+(F145*'5.Closing Stock &amp; W Capital'!$D$15))*$C204*I$172</f>
        <v>0</v>
      </c>
      <c r="J204" s="199">
        <f>((H145*(1-'5.Closing Stock &amp; W Capital'!$D$15))+(G145*'5.Closing Stock &amp; W Capital'!$D$15))*$C204*J$172</f>
        <v>0</v>
      </c>
      <c r="K204" s="93"/>
      <c r="L204" s="93"/>
    </row>
    <row r="205" spans="1:12">
      <c r="A205" s="96" t="str">
        <f t="shared" si="34"/>
        <v>Okra</v>
      </c>
      <c r="B205" s="94" t="s">
        <v>361</v>
      </c>
      <c r="C205" s="250">
        <v>0</v>
      </c>
      <c r="D205" s="199">
        <f>(B146*(1-'5.Closing Stock &amp; W Capital'!$D$15))*$C205*D$172</f>
        <v>0</v>
      </c>
      <c r="E205" s="199">
        <f>((C146*(1-'5.Closing Stock &amp; W Capital'!$D$15))+(B146*'5.Closing Stock &amp; W Capital'!$D$15))*$C205*E$172</f>
        <v>0</v>
      </c>
      <c r="F205" s="199">
        <f>((D146*(1-'5.Closing Stock &amp; W Capital'!$D$15))+(C146*'5.Closing Stock &amp; W Capital'!$D$15))*$C205*F$172</f>
        <v>0</v>
      </c>
      <c r="G205" s="199">
        <f>((E146*(1-'5.Closing Stock &amp; W Capital'!$D$15))+(D146*'5.Closing Stock &amp; W Capital'!$D$15))*$C205*G$172</f>
        <v>0</v>
      </c>
      <c r="H205" s="199">
        <f>((F146*(1-'5.Closing Stock &amp; W Capital'!$D$15))+(E146*'5.Closing Stock &amp; W Capital'!$D$15))*$C205*H$172</f>
        <v>0</v>
      </c>
      <c r="I205" s="199">
        <f>((G146*(1-'5.Closing Stock &amp; W Capital'!$D$15))+(F146*'5.Closing Stock &amp; W Capital'!$D$15))*$C205*I$172</f>
        <v>0</v>
      </c>
      <c r="J205" s="199">
        <f>((H146*(1-'5.Closing Stock &amp; W Capital'!$D$15))+(G146*'5.Closing Stock &amp; W Capital'!$D$15))*$C205*J$172</f>
        <v>0</v>
      </c>
      <c r="K205" s="93"/>
      <c r="L205" s="93"/>
    </row>
    <row r="206" spans="1:12">
      <c r="A206" s="96" t="str">
        <f t="shared" si="34"/>
        <v>Chilli</v>
      </c>
      <c r="B206" s="94" t="s">
        <v>361</v>
      </c>
      <c r="C206" s="250">
        <v>0</v>
      </c>
      <c r="D206" s="199">
        <f>(B147*(1-'5.Closing Stock &amp; W Capital'!$D$15))*$C206*D$172</f>
        <v>0</v>
      </c>
      <c r="E206" s="199">
        <f>((C147*(1-'5.Closing Stock &amp; W Capital'!$D$15))+(B147*'5.Closing Stock &amp; W Capital'!$D$15))*$C206*E$172</f>
        <v>0</v>
      </c>
      <c r="F206" s="199">
        <f>((D147*(1-'5.Closing Stock &amp; W Capital'!$D$15))+(C147*'5.Closing Stock &amp; W Capital'!$D$15))*$C206*F$172</f>
        <v>0</v>
      </c>
      <c r="G206" s="199">
        <f>((E147*(1-'5.Closing Stock &amp; W Capital'!$D$15))+(D147*'5.Closing Stock &amp; W Capital'!$D$15))*$C206*G$172</f>
        <v>0</v>
      </c>
      <c r="H206" s="199">
        <f>((F147*(1-'5.Closing Stock &amp; W Capital'!$D$15))+(E147*'5.Closing Stock &amp; W Capital'!$D$15))*$C206*H$172</f>
        <v>0</v>
      </c>
      <c r="I206" s="199">
        <f>((G147*(1-'5.Closing Stock &amp; W Capital'!$D$15))+(F147*'5.Closing Stock &amp; W Capital'!$D$15))*$C206*I$172</f>
        <v>0</v>
      </c>
      <c r="J206" s="199">
        <f>((H147*(1-'5.Closing Stock &amp; W Capital'!$D$15))+(G147*'5.Closing Stock &amp; W Capital'!$D$15))*$C206*J$172</f>
        <v>0</v>
      </c>
      <c r="K206" s="93"/>
      <c r="L206" s="93"/>
    </row>
    <row r="207" spans="1:12">
      <c r="A207" s="96" t="str">
        <f t="shared" si="34"/>
        <v>Potato</v>
      </c>
      <c r="B207" s="94" t="s">
        <v>361</v>
      </c>
      <c r="C207" s="250">
        <v>0</v>
      </c>
      <c r="D207" s="199">
        <f>(B148*(1-'5.Closing Stock &amp; W Capital'!$D$15))*$C207*D$172</f>
        <v>0</v>
      </c>
      <c r="E207" s="199">
        <f>((C148*(1-'5.Closing Stock &amp; W Capital'!$D$15))+(B148*'5.Closing Stock &amp; W Capital'!$D$15))*$C207*E$172</f>
        <v>0</v>
      </c>
      <c r="F207" s="199">
        <f>((D148*(1-'5.Closing Stock &amp; W Capital'!$D$15))+(C148*'5.Closing Stock &amp; W Capital'!$D$15))*$C207*F$172</f>
        <v>0</v>
      </c>
      <c r="G207" s="199">
        <f>((E148*(1-'5.Closing Stock &amp; W Capital'!$D$15))+(D148*'5.Closing Stock &amp; W Capital'!$D$15))*$C207*G$172</f>
        <v>0</v>
      </c>
      <c r="H207" s="199">
        <f>((F148*(1-'5.Closing Stock &amp; W Capital'!$D$15))+(E148*'5.Closing Stock &amp; W Capital'!$D$15))*$C207*H$172</f>
        <v>0</v>
      </c>
      <c r="I207" s="199">
        <f>((G148*(1-'5.Closing Stock &amp; W Capital'!$D$15))+(F148*'5.Closing Stock &amp; W Capital'!$D$15))*$C207*I$172</f>
        <v>0</v>
      </c>
      <c r="J207" s="199">
        <f>((H148*(1-'5.Closing Stock &amp; W Capital'!$D$15))+(G148*'5.Closing Stock &amp; W Capital'!$D$15))*$C207*J$172</f>
        <v>0</v>
      </c>
      <c r="K207" s="93"/>
      <c r="L207" s="93"/>
    </row>
    <row r="208" spans="1:12">
      <c r="A208" s="96">
        <f t="shared" si="34"/>
        <v>0</v>
      </c>
      <c r="B208" s="94" t="s">
        <v>361</v>
      </c>
      <c r="C208" s="234"/>
      <c r="D208" s="199">
        <f>(B149*(1-'5.Closing Stock &amp; W Capital'!$D$15))*$C208*D$172</f>
        <v>0</v>
      </c>
      <c r="E208" s="199">
        <f>((C149*(1-'5.Closing Stock &amp; W Capital'!$D$15))+(B149*'5.Closing Stock &amp; W Capital'!$D$15))*$C208*E$172</f>
        <v>0</v>
      </c>
      <c r="F208" s="199">
        <f>((D149*(1-'5.Closing Stock &amp; W Capital'!$D$15))+(C149*'5.Closing Stock &amp; W Capital'!$D$15))*$C208*F$172</f>
        <v>0</v>
      </c>
      <c r="G208" s="199">
        <f>((E149*(1-'5.Closing Stock &amp; W Capital'!$D$15))+(D149*'5.Closing Stock &amp; W Capital'!$D$15))*$C208*G$172</f>
        <v>0</v>
      </c>
      <c r="H208" s="199">
        <f>((F149*(1-'5.Closing Stock &amp; W Capital'!$D$15))+(E149*'5.Closing Stock &amp; W Capital'!$D$15))*$C208*H$172</f>
        <v>0</v>
      </c>
      <c r="I208" s="199">
        <f>((G149*(1-'5.Closing Stock &amp; W Capital'!$D$15))+(F149*'5.Closing Stock &amp; W Capital'!$D$15))*$C208*I$172</f>
        <v>0</v>
      </c>
      <c r="J208" s="199">
        <f>((H149*(1-'5.Closing Stock &amp; W Capital'!$D$15))+(G149*'5.Closing Stock &amp; W Capital'!$D$15))*$C208*J$172</f>
        <v>0</v>
      </c>
      <c r="K208" s="93"/>
      <c r="L208" s="93"/>
    </row>
    <row r="209" spans="1:12">
      <c r="A209" s="96">
        <f t="shared" si="34"/>
        <v>0</v>
      </c>
      <c r="B209" s="94" t="s">
        <v>361</v>
      </c>
      <c r="C209" s="234"/>
      <c r="D209" s="199">
        <f>(B150*(1-'5.Closing Stock &amp; W Capital'!$D$15))*$C209*D$172</f>
        <v>0</v>
      </c>
      <c r="E209" s="199">
        <f>((C150*(1-'5.Closing Stock &amp; W Capital'!$D$15))+(B150*'5.Closing Stock &amp; W Capital'!$D$15))*$C209*E$172</f>
        <v>0</v>
      </c>
      <c r="F209" s="199">
        <f>((D150*(1-'5.Closing Stock &amp; W Capital'!$D$15))+(C150*'5.Closing Stock &amp; W Capital'!$D$15))*$C209*F$172</f>
        <v>0</v>
      </c>
      <c r="G209" s="199">
        <f>((E150*(1-'5.Closing Stock &amp; W Capital'!$D$15))+(D150*'5.Closing Stock &amp; W Capital'!$D$15))*$C209*G$172</f>
        <v>0</v>
      </c>
      <c r="H209" s="199">
        <f>((F150*(1-'5.Closing Stock &amp; W Capital'!$D$15))+(E150*'5.Closing Stock &amp; W Capital'!$D$15))*$C209*H$172</f>
        <v>0</v>
      </c>
      <c r="I209" s="199">
        <f>((G150*(1-'5.Closing Stock &amp; W Capital'!$D$15))+(F150*'5.Closing Stock &amp; W Capital'!$D$15))*$C209*I$172</f>
        <v>0</v>
      </c>
      <c r="J209" s="199">
        <f>((H150*(1-'5.Closing Stock &amp; W Capital'!$D$15))+(G150*'5.Closing Stock &amp; W Capital'!$D$15))*$C209*J$172</f>
        <v>0</v>
      </c>
      <c r="K209" s="93"/>
      <c r="L209" s="93"/>
    </row>
    <row r="210" spans="1:12">
      <c r="A210" s="96">
        <f t="shared" si="34"/>
        <v>0</v>
      </c>
      <c r="B210" s="94" t="s">
        <v>361</v>
      </c>
      <c r="C210" s="234"/>
      <c r="D210" s="199">
        <f>(B151*(1-'5.Closing Stock &amp; W Capital'!$D$15))*$C210*D$172</f>
        <v>0</v>
      </c>
      <c r="E210" s="199">
        <f>((C151*(1-'5.Closing Stock &amp; W Capital'!$D$15))+(B151*'5.Closing Stock &amp; W Capital'!$D$15))*$C210*E$172</f>
        <v>0</v>
      </c>
      <c r="F210" s="199">
        <f>((D151*(1-'5.Closing Stock &amp; W Capital'!$D$15))+(C151*'5.Closing Stock &amp; W Capital'!$D$15))*$C210*F$172</f>
        <v>0</v>
      </c>
      <c r="G210" s="199">
        <f>((E151*(1-'5.Closing Stock &amp; W Capital'!$D$15))+(D151*'5.Closing Stock &amp; W Capital'!$D$15))*$C210*G$172</f>
        <v>0</v>
      </c>
      <c r="H210" s="199">
        <f>((F151*(1-'5.Closing Stock &amp; W Capital'!$D$15))+(E151*'5.Closing Stock &amp; W Capital'!$D$15))*$C210*H$172</f>
        <v>0</v>
      </c>
      <c r="I210" s="199">
        <f>((G151*(1-'5.Closing Stock &amp; W Capital'!$D$15))+(F151*'5.Closing Stock &amp; W Capital'!$D$15))*$C210*I$172</f>
        <v>0</v>
      </c>
      <c r="J210" s="199">
        <f>((H151*(1-'5.Closing Stock &amp; W Capital'!$D$15))+(G151*'5.Closing Stock &amp; W Capital'!$D$15))*$C210*J$172</f>
        <v>0</v>
      </c>
      <c r="K210" s="93"/>
      <c r="L210" s="93"/>
    </row>
    <row r="211" spans="1:12">
      <c r="A211" s="96">
        <f t="shared" si="34"/>
        <v>0</v>
      </c>
      <c r="B211" s="94" t="s">
        <v>361</v>
      </c>
      <c r="C211" s="234"/>
      <c r="D211" s="199">
        <f>(B152*(1-'5.Closing Stock &amp; W Capital'!$D$15))*$C211*D$172</f>
        <v>0</v>
      </c>
      <c r="E211" s="199">
        <f>((C152*(1-'5.Closing Stock &amp; W Capital'!$D$15))+(B152*'5.Closing Stock &amp; W Capital'!$D$15))*$C211*E$172</f>
        <v>0</v>
      </c>
      <c r="F211" s="199">
        <f>((D152*(1-'5.Closing Stock &amp; W Capital'!$D$15))+(C152*'5.Closing Stock &amp; W Capital'!$D$15))*$C211*F$172</f>
        <v>0</v>
      </c>
      <c r="G211" s="199">
        <f>((E152*(1-'5.Closing Stock &amp; W Capital'!$D$15))+(D152*'5.Closing Stock &amp; W Capital'!$D$15))*$C211*G$172</f>
        <v>0</v>
      </c>
      <c r="H211" s="199">
        <f>((F152*(1-'5.Closing Stock &amp; W Capital'!$D$15))+(E152*'5.Closing Stock &amp; W Capital'!$D$15))*$C211*H$172</f>
        <v>0</v>
      </c>
      <c r="I211" s="199">
        <f>((G152*(1-'5.Closing Stock &amp; W Capital'!$D$15))+(F152*'5.Closing Stock &amp; W Capital'!$D$15))*$C211*I$172</f>
        <v>0</v>
      </c>
      <c r="J211" s="199">
        <f>((H152*(1-'5.Closing Stock &amp; W Capital'!$D$15))+(G152*'5.Closing Stock &amp; W Capital'!$D$15))*$C211*J$172</f>
        <v>0</v>
      </c>
      <c r="K211" s="93"/>
      <c r="L211" s="93"/>
    </row>
    <row r="212" spans="1:12">
      <c r="A212" s="96" t="str">
        <f t="shared" si="34"/>
        <v>Onion</v>
      </c>
      <c r="B212" s="94" t="s">
        <v>361</v>
      </c>
      <c r="C212" s="250">
        <v>0</v>
      </c>
      <c r="D212" s="199">
        <f>(B153*(1-'5.Closing Stock &amp; W Capital'!$D$15))*$C212*D$172</f>
        <v>0</v>
      </c>
      <c r="E212" s="199">
        <f>((C153*(1-'5.Closing Stock &amp; W Capital'!$D$15))+(B153*'5.Closing Stock &amp; W Capital'!$D$15))*$C212*E$172</f>
        <v>0</v>
      </c>
      <c r="F212" s="199">
        <f>((D153*(1-'5.Closing Stock &amp; W Capital'!$D$15))+(C153*'5.Closing Stock &amp; W Capital'!$D$15))*$C212*F$172</f>
        <v>0</v>
      </c>
      <c r="G212" s="199">
        <f>((E153*(1-'5.Closing Stock &amp; W Capital'!$D$15))+(D153*'5.Closing Stock &amp; W Capital'!$D$15))*$C212*G$172</f>
        <v>0</v>
      </c>
      <c r="H212" s="199">
        <f>((F153*(1-'5.Closing Stock &amp; W Capital'!$D$15))+(E153*'5.Closing Stock &amp; W Capital'!$D$15))*$C212*H$172</f>
        <v>0</v>
      </c>
      <c r="I212" s="199">
        <f>((G153*(1-'5.Closing Stock &amp; W Capital'!$D$15))+(F153*'5.Closing Stock &amp; W Capital'!$D$15))*$C212*I$172</f>
        <v>0</v>
      </c>
      <c r="J212" s="199">
        <f>((H153*(1-'5.Closing Stock &amp; W Capital'!$D$15))+(G153*'5.Closing Stock &amp; W Capital'!$D$15))*$C212*J$172</f>
        <v>0</v>
      </c>
      <c r="K212" s="93"/>
      <c r="L212" s="93"/>
    </row>
    <row r="213" spans="1:12">
      <c r="A213" s="96" t="str">
        <f t="shared" si="34"/>
        <v>Tomato</v>
      </c>
      <c r="B213" s="94" t="s">
        <v>361</v>
      </c>
      <c r="C213" s="250">
        <v>0</v>
      </c>
      <c r="D213" s="199">
        <f>(B154*(1-'5.Closing Stock &amp; W Capital'!$D$15))*$C213*D$172</f>
        <v>0</v>
      </c>
      <c r="E213" s="199">
        <f>((C154*(1-'5.Closing Stock &amp; W Capital'!$D$15))+(B154*'5.Closing Stock &amp; W Capital'!$D$15))*$C213*E$172</f>
        <v>0</v>
      </c>
      <c r="F213" s="199">
        <f>((D154*(1-'5.Closing Stock &amp; W Capital'!$D$15))+(C154*'5.Closing Stock &amp; W Capital'!$D$15))*$C213*F$172</f>
        <v>0</v>
      </c>
      <c r="G213" s="199">
        <f>((E154*(1-'5.Closing Stock &amp; W Capital'!$D$15))+(D154*'5.Closing Stock &amp; W Capital'!$D$15))*$C213*G$172</f>
        <v>0</v>
      </c>
      <c r="H213" s="199">
        <f>((F154*(1-'5.Closing Stock &amp; W Capital'!$D$15))+(E154*'5.Closing Stock &amp; W Capital'!$D$15))*$C213*H$172</f>
        <v>0</v>
      </c>
      <c r="I213" s="199">
        <f>((G154*(1-'5.Closing Stock &amp; W Capital'!$D$15))+(F154*'5.Closing Stock &amp; W Capital'!$D$15))*$C213*I$172</f>
        <v>0</v>
      </c>
      <c r="J213" s="199">
        <f>((H154*(1-'5.Closing Stock &amp; W Capital'!$D$15))+(G154*'5.Closing Stock &amp; W Capital'!$D$15))*$C213*J$172</f>
        <v>0</v>
      </c>
      <c r="K213" s="93"/>
      <c r="L213" s="93"/>
    </row>
    <row r="214" spans="1:12">
      <c r="A214" s="96" t="str">
        <f t="shared" si="34"/>
        <v>Okra</v>
      </c>
      <c r="B214" s="94" t="s">
        <v>361</v>
      </c>
      <c r="C214" s="250">
        <v>0</v>
      </c>
      <c r="D214" s="199">
        <f>(B155*(1-'5.Closing Stock &amp; W Capital'!$D$15))*$C214*D$172</f>
        <v>0</v>
      </c>
      <c r="E214" s="199">
        <f>((C155*(1-'5.Closing Stock &amp; W Capital'!$D$15))+(B155*'5.Closing Stock &amp; W Capital'!$D$15))*$C214*E$172</f>
        <v>0</v>
      </c>
      <c r="F214" s="199">
        <f>((D155*(1-'5.Closing Stock &amp; W Capital'!$D$15))+(C155*'5.Closing Stock &amp; W Capital'!$D$15))*$C214*F$172</f>
        <v>0</v>
      </c>
      <c r="G214" s="199">
        <f>((E155*(1-'5.Closing Stock &amp; W Capital'!$D$15))+(D155*'5.Closing Stock &amp; W Capital'!$D$15))*$C214*G$172</f>
        <v>0</v>
      </c>
      <c r="H214" s="199">
        <f>((F155*(1-'5.Closing Stock &amp; W Capital'!$D$15))+(E155*'5.Closing Stock &amp; W Capital'!$D$15))*$C214*H$172</f>
        <v>0</v>
      </c>
      <c r="I214" s="199">
        <f>((G155*(1-'5.Closing Stock &amp; W Capital'!$D$15))+(F155*'5.Closing Stock &amp; W Capital'!$D$15))*$C214*I$172</f>
        <v>0</v>
      </c>
      <c r="J214" s="199">
        <f>((H155*(1-'5.Closing Stock &amp; W Capital'!$D$15))+(G155*'5.Closing Stock &amp; W Capital'!$D$15))*$C214*J$172</f>
        <v>0</v>
      </c>
      <c r="K214" s="93"/>
      <c r="L214" s="93"/>
    </row>
    <row r="215" spans="1:12">
      <c r="A215" s="96" t="str">
        <f t="shared" si="34"/>
        <v>Chilli</v>
      </c>
      <c r="B215" s="94" t="s">
        <v>361</v>
      </c>
      <c r="C215" s="250">
        <v>0</v>
      </c>
      <c r="D215" s="199">
        <f>(B156*(1-'5.Closing Stock &amp; W Capital'!$D$15))*$C215*D$172</f>
        <v>0</v>
      </c>
      <c r="E215" s="199">
        <f>((C156*(1-'5.Closing Stock &amp; W Capital'!$D$15))+(B156*'5.Closing Stock &amp; W Capital'!$D$15))*$C215*E$172</f>
        <v>0</v>
      </c>
      <c r="F215" s="199">
        <f>((D156*(1-'5.Closing Stock &amp; W Capital'!$D$15))+(C156*'5.Closing Stock &amp; W Capital'!$D$15))*$C215*F$172</f>
        <v>0</v>
      </c>
      <c r="G215" s="199">
        <f>((E156*(1-'5.Closing Stock &amp; W Capital'!$D$15))+(D156*'5.Closing Stock &amp; W Capital'!$D$15))*$C215*G$172</f>
        <v>0</v>
      </c>
      <c r="H215" s="199">
        <f>((F156*(1-'5.Closing Stock &amp; W Capital'!$D$15))+(E156*'5.Closing Stock &amp; W Capital'!$D$15))*$C215*H$172</f>
        <v>0</v>
      </c>
      <c r="I215" s="199">
        <f>((G156*(1-'5.Closing Stock &amp; W Capital'!$D$15))+(F156*'5.Closing Stock &amp; W Capital'!$D$15))*$C215*I$172</f>
        <v>0</v>
      </c>
      <c r="J215" s="199">
        <f>((H156*(1-'5.Closing Stock &amp; W Capital'!$D$15))+(G156*'5.Closing Stock &amp; W Capital'!$D$15))*$C215*J$172</f>
        <v>0</v>
      </c>
      <c r="K215" s="93"/>
      <c r="L215" s="93"/>
    </row>
    <row r="216" spans="1:12">
      <c r="A216" s="96" t="str">
        <f t="shared" si="34"/>
        <v>Brinjal</v>
      </c>
      <c r="B216" s="94" t="s">
        <v>361</v>
      </c>
      <c r="C216" s="250">
        <v>0</v>
      </c>
      <c r="D216" s="199">
        <f>(B157*(1-'5.Closing Stock &amp; W Capital'!$D$15))*$C216*D$172</f>
        <v>0</v>
      </c>
      <c r="E216" s="199">
        <f>((C157*(1-'5.Closing Stock &amp; W Capital'!$D$15))+(B157*'5.Closing Stock &amp; W Capital'!$D$15))*$C216*E$172</f>
        <v>0</v>
      </c>
      <c r="F216" s="199">
        <f>((D157*(1-'5.Closing Stock &amp; W Capital'!$D$15))+(C157*'5.Closing Stock &amp; W Capital'!$D$15))*$C216*F$172</f>
        <v>0</v>
      </c>
      <c r="G216" s="199">
        <f>((E157*(1-'5.Closing Stock &amp; W Capital'!$D$15))+(D157*'5.Closing Stock &amp; W Capital'!$D$15))*$C216*G$172</f>
        <v>0</v>
      </c>
      <c r="H216" s="199">
        <f>((F157*(1-'5.Closing Stock &amp; W Capital'!$D$15))+(E157*'5.Closing Stock &amp; W Capital'!$D$15))*$C216*H$172</f>
        <v>0</v>
      </c>
      <c r="I216" s="199">
        <f>((G157*(1-'5.Closing Stock &amp; W Capital'!$D$15))+(F157*'5.Closing Stock &amp; W Capital'!$D$15))*$C216*I$172</f>
        <v>0</v>
      </c>
      <c r="J216" s="199">
        <f>((H157*(1-'5.Closing Stock &amp; W Capital'!$D$15))+(G157*'5.Closing Stock &amp; W Capital'!$D$15))*$C216*J$172</f>
        <v>0</v>
      </c>
      <c r="K216" s="93"/>
      <c r="L216" s="93"/>
    </row>
    <row r="217" spans="1:12">
      <c r="A217" s="96">
        <f t="shared" si="34"/>
        <v>0</v>
      </c>
      <c r="B217" s="94" t="s">
        <v>361</v>
      </c>
      <c r="C217" s="250">
        <v>0</v>
      </c>
      <c r="D217" s="199">
        <f>(B158*(1-'5.Closing Stock &amp; W Capital'!$D$15))*$C217*D$172</f>
        <v>0</v>
      </c>
      <c r="E217" s="199">
        <f>((C158*(1-'5.Closing Stock &amp; W Capital'!$D$15))+(B158*'5.Closing Stock &amp; W Capital'!$D$15))*$C217*E$172</f>
        <v>0</v>
      </c>
      <c r="F217" s="199">
        <f>((D158*(1-'5.Closing Stock &amp; W Capital'!$D$15))+(C158*'5.Closing Stock &amp; W Capital'!$D$15))*$C217*F$172</f>
        <v>0</v>
      </c>
      <c r="G217" s="199">
        <f>((E158*(1-'5.Closing Stock &amp; W Capital'!$D$15))+(D158*'5.Closing Stock &amp; W Capital'!$D$15))*$C217*G$172</f>
        <v>0</v>
      </c>
      <c r="H217" s="199">
        <f>((F158*(1-'5.Closing Stock &amp; W Capital'!$D$15))+(E158*'5.Closing Stock &amp; W Capital'!$D$15))*$C217*H$172</f>
        <v>0</v>
      </c>
      <c r="I217" s="199">
        <f>((G158*(1-'5.Closing Stock &amp; W Capital'!$D$15))+(F158*'5.Closing Stock &amp; W Capital'!$D$15))*$C217*I$172</f>
        <v>0</v>
      </c>
      <c r="J217" s="199">
        <f>((H158*(1-'5.Closing Stock &amp; W Capital'!$D$15))+(G158*'5.Closing Stock &amp; W Capital'!$D$15))*$C217*J$172</f>
        <v>0</v>
      </c>
      <c r="K217" s="93"/>
      <c r="L217" s="93"/>
    </row>
    <row r="218" spans="1:12">
      <c r="A218" s="96">
        <f t="shared" si="34"/>
        <v>0</v>
      </c>
      <c r="B218" s="94" t="s">
        <v>361</v>
      </c>
      <c r="C218" s="250"/>
      <c r="D218" s="199">
        <f>(B159*(1-'5.Closing Stock &amp; W Capital'!$D$15))*$C218*D$172</f>
        <v>0</v>
      </c>
      <c r="E218" s="199">
        <f>((C159*(1-'5.Closing Stock &amp; W Capital'!$D$15))+(B159*'5.Closing Stock &amp; W Capital'!$D$15))*$C218*E$172</f>
        <v>0</v>
      </c>
      <c r="F218" s="199">
        <f>((D159*(1-'5.Closing Stock &amp; W Capital'!$D$15))+(C159*'5.Closing Stock &amp; W Capital'!$D$15))*$C218*F$172</f>
        <v>0</v>
      </c>
      <c r="G218" s="199">
        <f>((E159*(1-'5.Closing Stock &amp; W Capital'!$D$15))+(D159*'5.Closing Stock &amp; W Capital'!$D$15))*$C218*G$172</f>
        <v>0</v>
      </c>
      <c r="H218" s="199">
        <f>((F159*(1-'5.Closing Stock &amp; W Capital'!$D$15))+(E159*'5.Closing Stock &amp; W Capital'!$D$15))*$C218*H$172</f>
        <v>0</v>
      </c>
      <c r="I218" s="199">
        <f>((G159*(1-'5.Closing Stock &amp; W Capital'!$D$15))+(F159*'5.Closing Stock &amp; W Capital'!$D$15))*$C218*I$172</f>
        <v>0</v>
      </c>
      <c r="J218" s="199">
        <f>((H159*(1-'5.Closing Stock &amp; W Capital'!$D$15))+(G159*'5.Closing Stock &amp; W Capital'!$D$15))*$C218*J$172</f>
        <v>0</v>
      </c>
      <c r="K218" s="93"/>
      <c r="L218" s="93"/>
    </row>
    <row r="219" spans="1:12">
      <c r="A219" s="96">
        <f t="shared" si="34"/>
        <v>0</v>
      </c>
      <c r="B219" s="94" t="s">
        <v>361</v>
      </c>
      <c r="C219" s="250"/>
      <c r="D219" s="199">
        <f>(B160*(1-'5.Closing Stock &amp; W Capital'!$D$15))*$C219*D$172</f>
        <v>0</v>
      </c>
      <c r="E219" s="199">
        <f>((C160*(1-'5.Closing Stock &amp; W Capital'!$D$15))+(B160*'5.Closing Stock &amp; W Capital'!$D$15))*$C219*E$172</f>
        <v>0</v>
      </c>
      <c r="F219" s="199">
        <f>((D160*(1-'5.Closing Stock &amp; W Capital'!$D$15))+(C160*'5.Closing Stock &amp; W Capital'!$D$15))*$C219*F$172</f>
        <v>0</v>
      </c>
      <c r="G219" s="199">
        <f>((E160*(1-'5.Closing Stock &amp; W Capital'!$D$15))+(D160*'5.Closing Stock &amp; W Capital'!$D$15))*$C219*G$172</f>
        <v>0</v>
      </c>
      <c r="H219" s="199">
        <f>((F160*(1-'5.Closing Stock &amp; W Capital'!$D$15))+(E160*'5.Closing Stock &amp; W Capital'!$D$15))*$C219*H$172</f>
        <v>0</v>
      </c>
      <c r="I219" s="199">
        <f>((G160*(1-'5.Closing Stock &amp; W Capital'!$D$15))+(F160*'5.Closing Stock &amp; W Capital'!$D$15))*$C219*I$172</f>
        <v>0</v>
      </c>
      <c r="J219" s="199">
        <f>((H160*(1-'5.Closing Stock &amp; W Capital'!$D$15))+(G160*'5.Closing Stock &amp; W Capital'!$D$15))*$C219*J$172</f>
        <v>0</v>
      </c>
      <c r="K219" s="93"/>
      <c r="L219" s="93"/>
    </row>
    <row r="220" spans="1:12">
      <c r="A220" s="96">
        <f t="shared" si="34"/>
        <v>0</v>
      </c>
      <c r="B220" s="94" t="s">
        <v>361</v>
      </c>
      <c r="C220" s="250"/>
      <c r="D220" s="199">
        <f>(B161*(1-'5.Closing Stock &amp; W Capital'!$D$15))*$C220*D$172</f>
        <v>0</v>
      </c>
      <c r="E220" s="199">
        <f>((C161*(1-'5.Closing Stock &amp; W Capital'!$D$15))+(B161*'5.Closing Stock &amp; W Capital'!$D$15))*$C220*E$172</f>
        <v>0</v>
      </c>
      <c r="F220" s="199">
        <f>((D161*(1-'5.Closing Stock &amp; W Capital'!$D$15))+(C161*'5.Closing Stock &amp; W Capital'!$D$15))*$C220*F$172</f>
        <v>0</v>
      </c>
      <c r="G220" s="199">
        <f>((E161*(1-'5.Closing Stock &amp; W Capital'!$D$15))+(D161*'5.Closing Stock &amp; W Capital'!$D$15))*$C220*G$172</f>
        <v>0</v>
      </c>
      <c r="H220" s="199">
        <f>((F161*(1-'5.Closing Stock &amp; W Capital'!$D$15))+(E161*'5.Closing Stock &amp; W Capital'!$D$15))*$C220*H$172</f>
        <v>0</v>
      </c>
      <c r="I220" s="199">
        <f>((G161*(1-'5.Closing Stock &amp; W Capital'!$D$15))+(F161*'5.Closing Stock &amp; W Capital'!$D$15))*$C220*I$172</f>
        <v>0</v>
      </c>
      <c r="J220" s="199">
        <f>((H161*(1-'5.Closing Stock &amp; W Capital'!$D$15))+(G161*'5.Closing Stock &amp; W Capital'!$D$15))*$C220*J$172</f>
        <v>0</v>
      </c>
      <c r="K220" s="93"/>
      <c r="L220" s="93"/>
    </row>
    <row r="221" spans="1:12">
      <c r="A221" s="96">
        <f t="shared" ref="A221:A223" si="35">A162</f>
        <v>0</v>
      </c>
      <c r="B221" s="94" t="s">
        <v>361</v>
      </c>
      <c r="C221" s="250"/>
      <c r="D221" s="199">
        <f>(B162*(1-'5.Closing Stock &amp; W Capital'!$D$15))*$C221*D$172</f>
        <v>0</v>
      </c>
      <c r="E221" s="199">
        <f>((C162*(1-'5.Closing Stock &amp; W Capital'!$D$15))+(B162*'5.Closing Stock &amp; W Capital'!$D$15))*$C221*E$172</f>
        <v>0</v>
      </c>
      <c r="F221" s="199">
        <f>((D162*(1-'5.Closing Stock &amp; W Capital'!$D$15))+(C162*'5.Closing Stock &amp; W Capital'!$D$15))*$C221*F$172</f>
        <v>0</v>
      </c>
      <c r="G221" s="199">
        <f>((E162*(1-'5.Closing Stock &amp; W Capital'!$D$15))+(D162*'5.Closing Stock &amp; W Capital'!$D$15))*$C221*G$172</f>
        <v>0</v>
      </c>
      <c r="H221" s="199">
        <f>((F162*(1-'5.Closing Stock &amp; W Capital'!$D$15))+(E162*'5.Closing Stock &amp; W Capital'!$D$15))*$C221*H$172</f>
        <v>0</v>
      </c>
      <c r="I221" s="199">
        <f>((G162*(1-'5.Closing Stock &amp; W Capital'!$D$15))+(F162*'5.Closing Stock &amp; W Capital'!$D$15))*$C221*I$172</f>
        <v>0</v>
      </c>
      <c r="J221" s="199">
        <f>((H162*(1-'5.Closing Stock &amp; W Capital'!$D$15))+(G162*'5.Closing Stock &amp; W Capital'!$D$15))*$C221*J$172</f>
        <v>0</v>
      </c>
      <c r="K221" s="93"/>
      <c r="L221" s="93"/>
    </row>
    <row r="222" spans="1:12">
      <c r="A222" s="96">
        <f t="shared" si="35"/>
        <v>0</v>
      </c>
      <c r="B222" s="94" t="s">
        <v>361</v>
      </c>
      <c r="C222" s="250"/>
      <c r="D222" s="199">
        <f>(B163*(1-'5.Closing Stock &amp; W Capital'!$D$15))*$C222*D$172</f>
        <v>0</v>
      </c>
      <c r="E222" s="199">
        <f>((C163*(1-'5.Closing Stock &amp; W Capital'!$D$15))+(B163*'5.Closing Stock &amp; W Capital'!$D$15))*$C222*E$172</f>
        <v>0</v>
      </c>
      <c r="F222" s="199">
        <f>((D163*(1-'5.Closing Stock &amp; W Capital'!$D$15))+(C163*'5.Closing Stock &amp; W Capital'!$D$15))*$C222*F$172</f>
        <v>0</v>
      </c>
      <c r="G222" s="199">
        <f>((E163*(1-'5.Closing Stock &amp; W Capital'!$D$15))+(D163*'5.Closing Stock &amp; W Capital'!$D$15))*$C222*G$172</f>
        <v>0</v>
      </c>
      <c r="H222" s="199">
        <f>((F163*(1-'5.Closing Stock &amp; W Capital'!$D$15))+(E163*'5.Closing Stock &amp; W Capital'!$D$15))*$C222*H$172</f>
        <v>0</v>
      </c>
      <c r="I222" s="199">
        <f>((G163*(1-'5.Closing Stock &amp; W Capital'!$D$15))+(F163*'5.Closing Stock &amp; W Capital'!$D$15))*$C222*I$172</f>
        <v>0</v>
      </c>
      <c r="J222" s="199">
        <f>((H163*(1-'5.Closing Stock &amp; W Capital'!$D$15))+(G163*'5.Closing Stock &amp; W Capital'!$D$15))*$C222*J$172</f>
        <v>0</v>
      </c>
      <c r="K222" s="93"/>
      <c r="L222" s="93"/>
    </row>
    <row r="223" spans="1:12">
      <c r="A223" s="96">
        <f t="shared" si="35"/>
        <v>0</v>
      </c>
      <c r="B223" s="94" t="s">
        <v>361</v>
      </c>
      <c r="C223" s="250"/>
      <c r="D223" s="199">
        <f>(B164*(1-'5.Closing Stock &amp; W Capital'!$D$15))*$C223*D$172</f>
        <v>0</v>
      </c>
      <c r="E223" s="199">
        <f>((C164*(1-'5.Closing Stock &amp; W Capital'!$D$15))+(B164*'5.Closing Stock &amp; W Capital'!$D$15))*$C223*E$172</f>
        <v>0</v>
      </c>
      <c r="F223" s="199">
        <f>((D164*(1-'5.Closing Stock &amp; W Capital'!$D$15))+(C164*'5.Closing Stock &amp; W Capital'!$D$15))*$C223*F$172</f>
        <v>0</v>
      </c>
      <c r="G223" s="199">
        <f>((E164*(1-'5.Closing Stock &amp; W Capital'!$D$15))+(D164*'5.Closing Stock &amp; W Capital'!$D$15))*$C223*G$172</f>
        <v>0</v>
      </c>
      <c r="H223" s="199">
        <f>((F164*(1-'5.Closing Stock &amp; W Capital'!$D$15))+(E164*'5.Closing Stock &amp; W Capital'!$D$15))*$C223*H$172</f>
        <v>0</v>
      </c>
      <c r="I223" s="199">
        <f>((G164*(1-'5.Closing Stock &amp; W Capital'!$D$15))+(F164*'5.Closing Stock &amp; W Capital'!$D$15))*$C223*I$172</f>
        <v>0</v>
      </c>
      <c r="J223" s="199">
        <f>((H164*(1-'5.Closing Stock &amp; W Capital'!$D$15))+(G164*'5.Closing Stock &amp; W Capital'!$D$15))*$C223*J$172</f>
        <v>0</v>
      </c>
      <c r="K223" s="93"/>
      <c r="L223" s="93"/>
    </row>
    <row r="224" spans="1:12">
      <c r="A224" s="96" t="str">
        <f t="shared" ref="A224:A227" si="36">A165</f>
        <v>Pomegranate</v>
      </c>
      <c r="B224" s="94" t="s">
        <v>361</v>
      </c>
      <c r="C224" s="250"/>
      <c r="D224" s="199">
        <f>(B165*(1-'5.Closing Stock &amp; W Capital'!$D$15))*$C224*D$172</f>
        <v>0</v>
      </c>
      <c r="E224" s="199">
        <f>((C165*(1-'5.Closing Stock &amp; W Capital'!$D$15))+(B165*'5.Closing Stock &amp; W Capital'!$D$15))*$C224*E$172</f>
        <v>0</v>
      </c>
      <c r="F224" s="199">
        <f>((D165*(1-'5.Closing Stock &amp; W Capital'!$D$15))+(C165*'5.Closing Stock &amp; W Capital'!$D$15))*$C224*F$172</f>
        <v>0</v>
      </c>
      <c r="G224" s="199">
        <f>((E165*(1-'5.Closing Stock &amp; W Capital'!$D$15))+(D165*'5.Closing Stock &amp; W Capital'!$D$15))*$C224*G$172</f>
        <v>0</v>
      </c>
      <c r="H224" s="199">
        <f>((F165*(1-'5.Closing Stock &amp; W Capital'!$D$15))+(E165*'5.Closing Stock &amp; W Capital'!$D$15))*$C224*H$172</f>
        <v>0</v>
      </c>
      <c r="I224" s="199">
        <f>((G165*(1-'5.Closing Stock &amp; W Capital'!$D$15))+(F165*'5.Closing Stock &amp; W Capital'!$D$15))*$C224*I$172</f>
        <v>0</v>
      </c>
      <c r="J224" s="199">
        <f>((H165*(1-'5.Closing Stock &amp; W Capital'!$D$15))+(G165*'5.Closing Stock &amp; W Capital'!$D$15))*$C224*J$172</f>
        <v>0</v>
      </c>
      <c r="K224" s="93"/>
      <c r="L224" s="93"/>
    </row>
    <row r="225" spans="1:12">
      <c r="A225" s="96" t="str">
        <f t="shared" si="36"/>
        <v>Custard Apple</v>
      </c>
      <c r="B225" s="94" t="s">
        <v>361</v>
      </c>
      <c r="C225" s="250"/>
      <c r="D225" s="199">
        <f>(B166*(1-'5.Closing Stock &amp; W Capital'!$D$15))*$C225*D$172</f>
        <v>0</v>
      </c>
      <c r="E225" s="199">
        <f>((C166*(1-'5.Closing Stock &amp; W Capital'!$D$15))+(B166*'5.Closing Stock &amp; W Capital'!$D$15))*$C225*E$172</f>
        <v>0</v>
      </c>
      <c r="F225" s="199">
        <f>((D166*(1-'5.Closing Stock &amp; W Capital'!$D$15))+(C166*'5.Closing Stock &amp; W Capital'!$D$15))*$C225*F$172</f>
        <v>0</v>
      </c>
      <c r="G225" s="199">
        <f>((E166*(1-'5.Closing Stock &amp; W Capital'!$D$15))+(D166*'5.Closing Stock &amp; W Capital'!$D$15))*$C225*G$172</f>
        <v>0</v>
      </c>
      <c r="H225" s="199">
        <f>((F166*(1-'5.Closing Stock &amp; W Capital'!$D$15))+(E166*'5.Closing Stock &amp; W Capital'!$D$15))*$C225*H$172</f>
        <v>0</v>
      </c>
      <c r="I225" s="199">
        <f>((G166*(1-'5.Closing Stock &amp; W Capital'!$D$15))+(F166*'5.Closing Stock &amp; W Capital'!$D$15))*$C225*I$172</f>
        <v>0</v>
      </c>
      <c r="J225" s="199">
        <f>((H166*(1-'5.Closing Stock &amp; W Capital'!$D$15))+(G166*'5.Closing Stock &amp; W Capital'!$D$15))*$C225*J$172</f>
        <v>0</v>
      </c>
      <c r="K225" s="93"/>
      <c r="L225" s="93"/>
    </row>
    <row r="226" spans="1:12">
      <c r="A226" s="96" t="str">
        <f t="shared" si="36"/>
        <v>Guava</v>
      </c>
      <c r="B226" s="94" t="s">
        <v>361</v>
      </c>
      <c r="C226" s="250"/>
      <c r="D226" s="199">
        <f>(B167*(1-'5.Closing Stock &amp; W Capital'!$D$15))*$C226*D$172</f>
        <v>0</v>
      </c>
      <c r="E226" s="199">
        <f>((C167*(1-'5.Closing Stock &amp; W Capital'!$D$15))+(B167*'5.Closing Stock &amp; W Capital'!$D$15))*$C226*E$172</f>
        <v>0</v>
      </c>
      <c r="F226" s="199">
        <f>((D167*(1-'5.Closing Stock &amp; W Capital'!$D$15))+(C167*'5.Closing Stock &amp; W Capital'!$D$15))*$C226*F$172</f>
        <v>0</v>
      </c>
      <c r="G226" s="199">
        <f>((E167*(1-'5.Closing Stock &amp; W Capital'!$D$15))+(D167*'5.Closing Stock &amp; W Capital'!$D$15))*$C226*G$172</f>
        <v>0</v>
      </c>
      <c r="H226" s="199">
        <f>((F167*(1-'5.Closing Stock &amp; W Capital'!$D$15))+(E167*'5.Closing Stock &amp; W Capital'!$D$15))*$C226*H$172</f>
        <v>0</v>
      </c>
      <c r="I226" s="199">
        <f>((G167*(1-'5.Closing Stock &amp; W Capital'!$D$15))+(F167*'5.Closing Stock &amp; W Capital'!$D$15))*$C226*I$172</f>
        <v>0</v>
      </c>
      <c r="J226" s="199">
        <f>((H167*(1-'5.Closing Stock &amp; W Capital'!$D$15))+(G167*'5.Closing Stock &amp; W Capital'!$D$15))*$C226*J$172</f>
        <v>0</v>
      </c>
      <c r="K226" s="93"/>
      <c r="L226" s="93"/>
    </row>
    <row r="227" spans="1:12">
      <c r="A227" s="96" t="str">
        <f t="shared" si="36"/>
        <v>Citrus</v>
      </c>
      <c r="B227" s="94" t="s">
        <v>361</v>
      </c>
      <c r="C227" s="250"/>
      <c r="D227" s="199">
        <f>(B168*(1-'5.Closing Stock &amp; W Capital'!$D$15))*$C227*D$172</f>
        <v>0</v>
      </c>
      <c r="E227" s="199">
        <f>((C168*(1-'5.Closing Stock &amp; W Capital'!$D$15))+(B168*'5.Closing Stock &amp; W Capital'!$D$15))*$C227*E$172</f>
        <v>0</v>
      </c>
      <c r="F227" s="199">
        <f>((D168*(1-'5.Closing Stock &amp; W Capital'!$D$15))+(C168*'5.Closing Stock &amp; W Capital'!$D$15))*$C227*F$172</f>
        <v>0</v>
      </c>
      <c r="G227" s="199">
        <f>((E168*(1-'5.Closing Stock &amp; W Capital'!$D$15))+(D168*'5.Closing Stock &amp; W Capital'!$D$15))*$C227*G$172</f>
        <v>0</v>
      </c>
      <c r="H227" s="199">
        <f>((F168*(1-'5.Closing Stock &amp; W Capital'!$D$15))+(E168*'5.Closing Stock &amp; W Capital'!$D$15))*$C227*H$172</f>
        <v>0</v>
      </c>
      <c r="I227" s="199">
        <f>((G168*(1-'5.Closing Stock &amp; W Capital'!$D$15))+(F168*'5.Closing Stock &amp; W Capital'!$D$15))*$C227*I$172</f>
        <v>0</v>
      </c>
      <c r="J227" s="199">
        <f>((H168*(1-'5.Closing Stock &amp; W Capital'!$D$15))+(G168*'5.Closing Stock &amp; W Capital'!$D$15))*$C227*J$172</f>
        <v>0</v>
      </c>
      <c r="K227" s="93"/>
      <c r="L227" s="93"/>
    </row>
    <row r="228" spans="1:12">
      <c r="A228" s="96"/>
      <c r="B228" s="96"/>
      <c r="C228" s="96"/>
      <c r="D228" s="94"/>
      <c r="E228" s="94"/>
      <c r="F228" s="94"/>
      <c r="G228" s="94"/>
      <c r="H228" s="94"/>
      <c r="I228" s="94"/>
      <c r="J228" s="94"/>
      <c r="K228" s="93"/>
      <c r="L228" s="93"/>
    </row>
    <row r="229" spans="1:12">
      <c r="A229" s="96" t="s">
        <v>142</v>
      </c>
      <c r="B229" s="96"/>
      <c r="C229" s="96"/>
      <c r="D229" s="201">
        <f t="shared" ref="D229:J229" si="37">SUM(D178:D228)</f>
        <v>9699517.6199999973</v>
      </c>
      <c r="E229" s="201">
        <f t="shared" si="37"/>
        <v>18635291.293499995</v>
      </c>
      <c r="F229" s="201">
        <f t="shared" si="37"/>
        <v>22531184.107424997</v>
      </c>
      <c r="G229" s="201">
        <f t="shared" si="37"/>
        <v>26770077.974508744</v>
      </c>
      <c r="H229" s="201">
        <f t="shared" si="37"/>
        <v>31376533.268032309</v>
      </c>
      <c r="I229" s="201">
        <f t="shared" si="37"/>
        <v>36376708.895971961</v>
      </c>
      <c r="J229" s="201">
        <f t="shared" si="37"/>
        <v>41798460.753535502</v>
      </c>
      <c r="K229" s="93"/>
      <c r="L229" s="93"/>
    </row>
    <row r="230" spans="1:12">
      <c r="A230" s="94"/>
      <c r="B230" s="94"/>
      <c r="C230" s="94"/>
      <c r="D230" s="94"/>
      <c r="E230" s="94"/>
      <c r="F230" s="94"/>
      <c r="G230" s="94"/>
      <c r="H230" s="94"/>
      <c r="I230" s="94"/>
      <c r="J230" s="94"/>
      <c r="K230" s="93"/>
      <c r="L230" s="93"/>
    </row>
    <row r="231" spans="1:12">
      <c r="A231" s="96" t="s">
        <v>141</v>
      </c>
      <c r="B231" s="96"/>
      <c r="C231" s="96"/>
      <c r="D231" s="94"/>
      <c r="E231" s="94"/>
      <c r="F231" s="94"/>
      <c r="G231" s="94"/>
      <c r="H231" s="94"/>
      <c r="I231" s="94"/>
      <c r="J231" s="94"/>
      <c r="K231" s="93"/>
      <c r="L231" s="93"/>
    </row>
    <row r="232" spans="1:12">
      <c r="A232" s="96" t="s">
        <v>312</v>
      </c>
      <c r="B232" s="96"/>
      <c r="C232" s="94"/>
      <c r="D232" s="94"/>
      <c r="E232" s="94"/>
      <c r="F232" s="94"/>
      <c r="G232" s="94"/>
      <c r="H232" s="94"/>
      <c r="I232" s="94"/>
      <c r="J232" s="94"/>
      <c r="K232" s="93"/>
      <c r="L232" s="93"/>
    </row>
    <row r="233" spans="1:12">
      <c r="A233" s="94" t="str">
        <f t="shared" ref="A233:A254" si="38">A178</f>
        <v>Soybean</v>
      </c>
      <c r="B233" s="94" t="s">
        <v>361</v>
      </c>
      <c r="C233" s="247">
        <v>4000</v>
      </c>
      <c r="D233" s="95">
        <f>B68*$C$233*D$172</f>
        <v>3207600</v>
      </c>
      <c r="E233" s="95">
        <f>C68*$C$233*E$172</f>
        <v>3929310</v>
      </c>
      <c r="F233" s="95">
        <f>D68*$C$233*F172</f>
        <v>4715171.9999999991</v>
      </c>
      <c r="G233" s="95">
        <f>E68*$C$233*G172</f>
        <v>5569796.9250000007</v>
      </c>
      <c r="H233" s="95">
        <f>F68*$C$233*H172</f>
        <v>6498096.4125000006</v>
      </c>
      <c r="I233" s="95">
        <f>G68*$C$233*I172</f>
        <v>7505301.3564374996</v>
      </c>
      <c r="J233" s="95">
        <f>H68*$C$233*J172</f>
        <v>8596981.5537375025</v>
      </c>
      <c r="K233" s="93"/>
      <c r="L233" s="93"/>
    </row>
    <row r="234" spans="1:12">
      <c r="A234" s="94" t="str">
        <f t="shared" si="38"/>
        <v>Tur</v>
      </c>
      <c r="B234" s="94" t="s">
        <v>361</v>
      </c>
      <c r="C234" s="247">
        <v>4000</v>
      </c>
      <c r="D234" s="95">
        <f>B69*$C$234*D$172</f>
        <v>342000</v>
      </c>
      <c r="E234" s="95">
        <f t="shared" ref="E234:J234" si="39">C69*$C$234*E172</f>
        <v>418950</v>
      </c>
      <c r="F234" s="95">
        <f t="shared" si="39"/>
        <v>502740</v>
      </c>
      <c r="G234" s="95">
        <f t="shared" si="39"/>
        <v>593861.62500000012</v>
      </c>
      <c r="H234" s="95">
        <f t="shared" si="39"/>
        <v>692838.56250000012</v>
      </c>
      <c r="I234" s="95">
        <f t="shared" si="39"/>
        <v>800228.53968750022</v>
      </c>
      <c r="J234" s="95">
        <f t="shared" si="39"/>
        <v>916625.41818750033</v>
      </c>
      <c r="K234" s="93"/>
      <c r="L234" s="93"/>
    </row>
    <row r="235" spans="1:12">
      <c r="A235" s="94" t="str">
        <f t="shared" si="38"/>
        <v>Turmeric</v>
      </c>
      <c r="B235" s="94" t="s">
        <v>361</v>
      </c>
      <c r="C235" s="247">
        <v>6000</v>
      </c>
      <c r="D235" s="95">
        <f>B70*$C$235*D$172</f>
        <v>5613300</v>
      </c>
      <c r="E235" s="95">
        <f t="shared" ref="E235:J235" si="40">C70*$C$235*E172</f>
        <v>6876292.4999999991</v>
      </c>
      <c r="F235" s="95">
        <f t="shared" si="40"/>
        <v>8251550.9999999991</v>
      </c>
      <c r="G235" s="95">
        <f t="shared" si="40"/>
        <v>9747144.6187499985</v>
      </c>
      <c r="H235" s="95">
        <f t="shared" si="40"/>
        <v>11371668.721874997</v>
      </c>
      <c r="I235" s="95">
        <f t="shared" si="40"/>
        <v>13134277.373765623</v>
      </c>
      <c r="J235" s="95">
        <f t="shared" si="40"/>
        <v>15044717.719040627</v>
      </c>
      <c r="K235" s="93"/>
      <c r="L235" s="93"/>
    </row>
    <row r="236" spans="1:12">
      <c r="A236" s="94" t="str">
        <f t="shared" si="38"/>
        <v>Moong</v>
      </c>
      <c r="B236" s="94" t="s">
        <v>361</v>
      </c>
      <c r="C236" s="247">
        <v>2000</v>
      </c>
      <c r="D236" s="95">
        <f t="shared" ref="D236:J236" si="41">B71*$C$236*D$172</f>
        <v>124740</v>
      </c>
      <c r="E236" s="95">
        <f t="shared" si="41"/>
        <v>152806.49999999997</v>
      </c>
      <c r="F236" s="95">
        <f t="shared" si="41"/>
        <v>183367.80000000002</v>
      </c>
      <c r="G236" s="95">
        <f t="shared" si="41"/>
        <v>216603.21375</v>
      </c>
      <c r="H236" s="95">
        <f t="shared" si="41"/>
        <v>252703.74937499998</v>
      </c>
      <c r="I236" s="95">
        <f t="shared" si="41"/>
        <v>291872.83052812505</v>
      </c>
      <c r="J236" s="95">
        <f t="shared" si="41"/>
        <v>334327.06042312511</v>
      </c>
      <c r="K236" s="93"/>
      <c r="L236" s="93"/>
    </row>
    <row r="237" spans="1:12">
      <c r="A237" s="94" t="str">
        <f t="shared" si="38"/>
        <v>Maize</v>
      </c>
      <c r="B237" s="94" t="s">
        <v>361</v>
      </c>
      <c r="C237" s="247"/>
      <c r="D237" s="95">
        <f t="shared" ref="D237:J237" si="42">B72*$C$237*D$172</f>
        <v>0</v>
      </c>
      <c r="E237" s="95">
        <f t="shared" si="42"/>
        <v>0</v>
      </c>
      <c r="F237" s="95">
        <f t="shared" si="42"/>
        <v>0</v>
      </c>
      <c r="G237" s="95">
        <f t="shared" si="42"/>
        <v>0</v>
      </c>
      <c r="H237" s="95">
        <f t="shared" si="42"/>
        <v>0</v>
      </c>
      <c r="I237" s="95">
        <f t="shared" si="42"/>
        <v>0</v>
      </c>
      <c r="J237" s="95">
        <f t="shared" si="42"/>
        <v>0</v>
      </c>
      <c r="K237" s="93"/>
      <c r="L237" s="93"/>
    </row>
    <row r="238" spans="1:12">
      <c r="A238" s="94" t="str">
        <f t="shared" si="38"/>
        <v>Udid</v>
      </c>
      <c r="B238" s="94" t="s">
        <v>361</v>
      </c>
      <c r="C238" s="247">
        <v>5000</v>
      </c>
      <c r="D238" s="95">
        <f t="shared" ref="D238:J238" si="43">B73*$C$238*D$172</f>
        <v>356400</v>
      </c>
      <c r="E238" s="95">
        <f t="shared" si="43"/>
        <v>436590</v>
      </c>
      <c r="F238" s="95">
        <f t="shared" si="43"/>
        <v>523907.99999999988</v>
      </c>
      <c r="G238" s="95">
        <f t="shared" si="43"/>
        <v>618866.32499999995</v>
      </c>
      <c r="H238" s="95">
        <f t="shared" si="43"/>
        <v>722010.71250000002</v>
      </c>
      <c r="I238" s="95">
        <f t="shared" si="43"/>
        <v>833922.37293750013</v>
      </c>
      <c r="J238" s="95">
        <f t="shared" si="43"/>
        <v>955220.17263750033</v>
      </c>
      <c r="K238" s="93"/>
      <c r="L238" s="93"/>
    </row>
    <row r="239" spans="1:12">
      <c r="A239" s="94" t="str">
        <f t="shared" si="38"/>
        <v>Bajra</v>
      </c>
      <c r="B239" s="94" t="s">
        <v>361</v>
      </c>
      <c r="C239" s="247">
        <v>0</v>
      </c>
      <c r="D239" s="95">
        <f t="shared" ref="D239:J239" si="44">B74*$C$239*D$172</f>
        <v>0</v>
      </c>
      <c r="E239" s="95">
        <f t="shared" si="44"/>
        <v>0</v>
      </c>
      <c r="F239" s="95">
        <f t="shared" si="44"/>
        <v>0</v>
      </c>
      <c r="G239" s="95">
        <f t="shared" si="44"/>
        <v>0</v>
      </c>
      <c r="H239" s="95">
        <f t="shared" si="44"/>
        <v>0</v>
      </c>
      <c r="I239" s="95">
        <f t="shared" si="44"/>
        <v>0</v>
      </c>
      <c r="J239" s="95">
        <f t="shared" si="44"/>
        <v>0</v>
      </c>
      <c r="K239" s="93"/>
      <c r="L239" s="93"/>
    </row>
    <row r="240" spans="1:12">
      <c r="A240" s="94" t="str">
        <f t="shared" si="38"/>
        <v>Jawar</v>
      </c>
      <c r="B240" s="94" t="s">
        <v>361</v>
      </c>
      <c r="C240" s="247">
        <f>+C185*90/100</f>
        <v>1800</v>
      </c>
      <c r="D240" s="95">
        <f t="shared" ref="D240:J240" si="45">B75*$C$240*D$172</f>
        <v>157140</v>
      </c>
      <c r="E240" s="95">
        <f t="shared" si="45"/>
        <v>192496.5</v>
      </c>
      <c r="F240" s="95">
        <f t="shared" si="45"/>
        <v>230995.8</v>
      </c>
      <c r="G240" s="95">
        <f t="shared" si="45"/>
        <v>272863.78875000001</v>
      </c>
      <c r="H240" s="95">
        <f t="shared" si="45"/>
        <v>318341.08687500004</v>
      </c>
      <c r="I240" s="95">
        <f t="shared" si="45"/>
        <v>367683.95534062502</v>
      </c>
      <c r="J240" s="95">
        <f t="shared" si="45"/>
        <v>421165.25793562515</v>
      </c>
      <c r="K240" s="93"/>
      <c r="L240" s="93"/>
    </row>
    <row r="241" spans="1:12">
      <c r="A241" s="94" t="str">
        <f t="shared" si="38"/>
        <v>Channa</v>
      </c>
      <c r="B241" s="94" t="s">
        <v>361</v>
      </c>
      <c r="C241" s="247"/>
      <c r="D241" s="95">
        <f t="shared" ref="D241:J241" si="46">B76*$C$241*D$172</f>
        <v>0</v>
      </c>
      <c r="E241" s="95">
        <f t="shared" si="46"/>
        <v>0</v>
      </c>
      <c r="F241" s="95">
        <f t="shared" si="46"/>
        <v>0</v>
      </c>
      <c r="G241" s="95">
        <f t="shared" si="46"/>
        <v>0</v>
      </c>
      <c r="H241" s="95">
        <f t="shared" si="46"/>
        <v>0</v>
      </c>
      <c r="I241" s="95">
        <f t="shared" si="46"/>
        <v>0</v>
      </c>
      <c r="J241" s="95">
        <f t="shared" si="46"/>
        <v>0</v>
      </c>
      <c r="K241" s="93"/>
      <c r="L241" s="93"/>
    </row>
    <row r="242" spans="1:12">
      <c r="A242" s="94" t="str">
        <f t="shared" si="38"/>
        <v>Wheat</v>
      </c>
      <c r="B242" s="94" t="s">
        <v>361</v>
      </c>
      <c r="C242" s="247">
        <f>+C187*90/100</f>
        <v>1980</v>
      </c>
      <c r="D242" s="95">
        <f t="shared" ref="D242:J242" si="47">B77*$C$242*D$172</f>
        <v>457083</v>
      </c>
      <c r="E242" s="95">
        <f t="shared" si="47"/>
        <v>559926.67499999993</v>
      </c>
      <c r="F242" s="95">
        <f t="shared" si="47"/>
        <v>671912.01</v>
      </c>
      <c r="G242" s="95">
        <f t="shared" si="47"/>
        <v>793696.0618125</v>
      </c>
      <c r="H242" s="95">
        <f t="shared" si="47"/>
        <v>925978.73878124973</v>
      </c>
      <c r="I242" s="95">
        <f t="shared" si="47"/>
        <v>1069505.4432923435</v>
      </c>
      <c r="J242" s="95">
        <f t="shared" si="47"/>
        <v>1225069.8714075941</v>
      </c>
      <c r="K242" s="93"/>
      <c r="L242" s="93"/>
    </row>
    <row r="243" spans="1:12">
      <c r="A243" s="94" t="str">
        <f t="shared" si="38"/>
        <v>Channa</v>
      </c>
      <c r="B243" s="94" t="s">
        <v>361</v>
      </c>
      <c r="C243" s="247">
        <v>4000</v>
      </c>
      <c r="D243" s="95">
        <f t="shared" ref="D243:J243" si="48">B78*$C$243*D$172</f>
        <v>2872799.9999999995</v>
      </c>
      <c r="E243" s="95">
        <f t="shared" si="48"/>
        <v>3519180</v>
      </c>
      <c r="F243" s="95">
        <f t="shared" si="48"/>
        <v>4223016</v>
      </c>
      <c r="G243" s="95">
        <f t="shared" si="48"/>
        <v>4988437.6500000004</v>
      </c>
      <c r="H243" s="95">
        <f t="shared" si="48"/>
        <v>5819843.9250000007</v>
      </c>
      <c r="I243" s="95">
        <f t="shared" si="48"/>
        <v>6721919.7333750017</v>
      </c>
      <c r="J243" s="95">
        <f t="shared" si="48"/>
        <v>7699653.5127750011</v>
      </c>
      <c r="K243" s="93"/>
      <c r="L243" s="93"/>
    </row>
    <row r="244" spans="1:12">
      <c r="A244" s="94" t="str">
        <f t="shared" si="38"/>
        <v>Jawar</v>
      </c>
      <c r="B244" s="94" t="s">
        <v>361</v>
      </c>
      <c r="C244" s="247"/>
      <c r="D244" s="95">
        <f t="shared" ref="D244:J244" si="49">B79*$C$244*D$172</f>
        <v>0</v>
      </c>
      <c r="E244" s="95">
        <f t="shared" si="49"/>
        <v>0</v>
      </c>
      <c r="F244" s="95">
        <f t="shared" si="49"/>
        <v>0</v>
      </c>
      <c r="G244" s="95">
        <f t="shared" si="49"/>
        <v>0</v>
      </c>
      <c r="H244" s="95">
        <f t="shared" si="49"/>
        <v>0</v>
      </c>
      <c r="I244" s="95">
        <f t="shared" si="49"/>
        <v>0</v>
      </c>
      <c r="J244" s="95">
        <f t="shared" si="49"/>
        <v>0</v>
      </c>
      <c r="K244" s="93"/>
      <c r="L244" s="93"/>
    </row>
    <row r="245" spans="1:12">
      <c r="A245" s="94" t="str">
        <f t="shared" si="38"/>
        <v>Maize</v>
      </c>
      <c r="B245" s="94" t="s">
        <v>361</v>
      </c>
      <c r="C245" s="247"/>
      <c r="D245" s="95">
        <f t="shared" ref="D245:J245" si="50">B80*$C$245*D$172</f>
        <v>0</v>
      </c>
      <c r="E245" s="95">
        <f t="shared" si="50"/>
        <v>0</v>
      </c>
      <c r="F245" s="95">
        <f t="shared" si="50"/>
        <v>0</v>
      </c>
      <c r="G245" s="95">
        <f t="shared" si="50"/>
        <v>0</v>
      </c>
      <c r="H245" s="95">
        <f t="shared" si="50"/>
        <v>0</v>
      </c>
      <c r="I245" s="95">
        <f t="shared" si="50"/>
        <v>0</v>
      </c>
      <c r="J245" s="95">
        <f t="shared" si="50"/>
        <v>0</v>
      </c>
      <c r="K245" s="93"/>
      <c r="L245" s="93"/>
    </row>
    <row r="246" spans="1:12">
      <c r="A246" s="94" t="str">
        <f t="shared" si="38"/>
        <v>Safflower</v>
      </c>
      <c r="B246" s="94" t="s">
        <v>361</v>
      </c>
      <c r="C246" s="247"/>
      <c r="D246" s="95">
        <f t="shared" ref="D246:J246" si="51">B81*$C$246*D$172</f>
        <v>0</v>
      </c>
      <c r="E246" s="95">
        <f t="shared" si="51"/>
        <v>0</v>
      </c>
      <c r="F246" s="95">
        <f t="shared" si="51"/>
        <v>0</v>
      </c>
      <c r="G246" s="95">
        <f t="shared" si="51"/>
        <v>0</v>
      </c>
      <c r="H246" s="95">
        <f t="shared" si="51"/>
        <v>0</v>
      </c>
      <c r="I246" s="95">
        <f t="shared" si="51"/>
        <v>0</v>
      </c>
      <c r="J246" s="95">
        <f t="shared" si="51"/>
        <v>0</v>
      </c>
      <c r="K246" s="93"/>
      <c r="L246" s="93"/>
    </row>
    <row r="247" spans="1:12">
      <c r="A247" s="94" t="str">
        <f t="shared" si="38"/>
        <v>Groundnut</v>
      </c>
      <c r="B247" s="94" t="s">
        <v>361</v>
      </c>
      <c r="C247" s="247"/>
      <c r="D247" s="95">
        <f t="shared" ref="D247:J247" si="52">B82*$C$247*D$172</f>
        <v>0</v>
      </c>
      <c r="E247" s="95">
        <f t="shared" si="52"/>
        <v>0</v>
      </c>
      <c r="F247" s="95">
        <f t="shared" si="52"/>
        <v>0</v>
      </c>
      <c r="G247" s="95">
        <f t="shared" si="52"/>
        <v>0</v>
      </c>
      <c r="H247" s="95">
        <f t="shared" si="52"/>
        <v>0</v>
      </c>
      <c r="I247" s="95">
        <f t="shared" si="52"/>
        <v>0</v>
      </c>
      <c r="J247" s="95">
        <f t="shared" si="52"/>
        <v>0</v>
      </c>
      <c r="K247" s="93"/>
      <c r="L247" s="93"/>
    </row>
    <row r="248" spans="1:12">
      <c r="A248" s="94">
        <f t="shared" si="38"/>
        <v>0</v>
      </c>
      <c r="B248" s="94" t="s">
        <v>361</v>
      </c>
      <c r="C248" s="247"/>
      <c r="D248" s="95">
        <f t="shared" ref="D248:J248" si="53">B83*$C$248*D$172</f>
        <v>0</v>
      </c>
      <c r="E248" s="95">
        <f t="shared" si="53"/>
        <v>0</v>
      </c>
      <c r="F248" s="95">
        <f t="shared" si="53"/>
        <v>0</v>
      </c>
      <c r="G248" s="95">
        <f t="shared" si="53"/>
        <v>0</v>
      </c>
      <c r="H248" s="95">
        <f t="shared" si="53"/>
        <v>0</v>
      </c>
      <c r="I248" s="95">
        <f t="shared" si="53"/>
        <v>0</v>
      </c>
      <c r="J248" s="95">
        <f t="shared" si="53"/>
        <v>0</v>
      </c>
      <c r="K248" s="93"/>
      <c r="L248" s="93"/>
    </row>
    <row r="249" spans="1:12">
      <c r="A249" s="94">
        <f t="shared" si="38"/>
        <v>0</v>
      </c>
      <c r="B249" s="94" t="s">
        <v>361</v>
      </c>
      <c r="C249" s="247"/>
      <c r="D249" s="95">
        <f t="shared" ref="D249:J255" si="54">B84*$C249*D$172</f>
        <v>0</v>
      </c>
      <c r="E249" s="95">
        <f t="shared" si="54"/>
        <v>0</v>
      </c>
      <c r="F249" s="95">
        <f t="shared" si="54"/>
        <v>0</v>
      </c>
      <c r="G249" s="95">
        <f t="shared" si="54"/>
        <v>0</v>
      </c>
      <c r="H249" s="95">
        <f t="shared" si="54"/>
        <v>0</v>
      </c>
      <c r="I249" s="95">
        <f t="shared" si="54"/>
        <v>0</v>
      </c>
      <c r="J249" s="95">
        <f t="shared" si="54"/>
        <v>0</v>
      </c>
      <c r="K249" s="93"/>
      <c r="L249" s="93"/>
    </row>
    <row r="250" spans="1:12">
      <c r="A250" s="94" t="str">
        <f t="shared" si="38"/>
        <v>Soybean</v>
      </c>
      <c r="B250" s="94" t="s">
        <v>361</v>
      </c>
      <c r="C250" s="247"/>
      <c r="D250" s="95">
        <f t="shared" si="54"/>
        <v>0</v>
      </c>
      <c r="E250" s="95">
        <f t="shared" si="54"/>
        <v>0</v>
      </c>
      <c r="F250" s="95">
        <f t="shared" si="54"/>
        <v>0</v>
      </c>
      <c r="G250" s="95">
        <f t="shared" si="54"/>
        <v>0</v>
      </c>
      <c r="H250" s="95">
        <f t="shared" si="54"/>
        <v>0</v>
      </c>
      <c r="I250" s="95">
        <f t="shared" si="54"/>
        <v>0</v>
      </c>
      <c r="J250" s="95">
        <f t="shared" si="54"/>
        <v>0</v>
      </c>
      <c r="K250" s="93"/>
      <c r="L250" s="93"/>
    </row>
    <row r="251" spans="1:12">
      <c r="A251" s="94" t="str">
        <f t="shared" si="38"/>
        <v>Paddy</v>
      </c>
      <c r="B251" s="94" t="s">
        <v>361</v>
      </c>
      <c r="C251" s="247"/>
      <c r="D251" s="95">
        <f t="shared" si="54"/>
        <v>0</v>
      </c>
      <c r="E251" s="95">
        <f t="shared" si="54"/>
        <v>0</v>
      </c>
      <c r="F251" s="95">
        <f t="shared" si="54"/>
        <v>0</v>
      </c>
      <c r="G251" s="95">
        <f t="shared" si="54"/>
        <v>0</v>
      </c>
      <c r="H251" s="95">
        <f t="shared" si="54"/>
        <v>0</v>
      </c>
      <c r="I251" s="95">
        <f t="shared" si="54"/>
        <v>0</v>
      </c>
      <c r="J251" s="95">
        <f t="shared" si="54"/>
        <v>0</v>
      </c>
      <c r="K251" s="93"/>
      <c r="L251" s="93"/>
    </row>
    <row r="252" spans="1:12">
      <c r="A252" s="94">
        <f t="shared" si="38"/>
        <v>0</v>
      </c>
      <c r="B252" s="94" t="s">
        <v>361</v>
      </c>
      <c r="C252" s="247"/>
      <c r="D252" s="95">
        <f t="shared" si="54"/>
        <v>0</v>
      </c>
      <c r="E252" s="95">
        <f t="shared" si="54"/>
        <v>0</v>
      </c>
      <c r="F252" s="95">
        <f t="shared" si="54"/>
        <v>0</v>
      </c>
      <c r="G252" s="95">
        <f t="shared" si="54"/>
        <v>0</v>
      </c>
      <c r="H252" s="95">
        <f t="shared" si="54"/>
        <v>0</v>
      </c>
      <c r="I252" s="95">
        <f t="shared" si="54"/>
        <v>0</v>
      </c>
      <c r="J252" s="95">
        <f t="shared" si="54"/>
        <v>0</v>
      </c>
      <c r="K252" s="93"/>
      <c r="L252" s="93"/>
    </row>
    <row r="253" spans="1:12">
      <c r="A253" s="94">
        <f t="shared" si="38"/>
        <v>0</v>
      </c>
      <c r="B253" s="94" t="s">
        <v>361</v>
      </c>
      <c r="C253" s="247"/>
      <c r="D253" s="95">
        <f t="shared" si="54"/>
        <v>0</v>
      </c>
      <c r="E253" s="95">
        <f t="shared" si="54"/>
        <v>0</v>
      </c>
      <c r="F253" s="95">
        <f t="shared" si="54"/>
        <v>0</v>
      </c>
      <c r="G253" s="95">
        <f t="shared" si="54"/>
        <v>0</v>
      </c>
      <c r="H253" s="95">
        <f t="shared" si="54"/>
        <v>0</v>
      </c>
      <c r="I253" s="95">
        <f t="shared" si="54"/>
        <v>0</v>
      </c>
      <c r="J253" s="95">
        <f t="shared" si="54"/>
        <v>0</v>
      </c>
      <c r="K253" s="93"/>
      <c r="L253" s="93"/>
    </row>
    <row r="254" spans="1:12">
      <c r="A254" s="94">
        <f t="shared" si="38"/>
        <v>0</v>
      </c>
      <c r="B254" s="94" t="s">
        <v>361</v>
      </c>
      <c r="C254" s="247"/>
      <c r="D254" s="95">
        <f t="shared" si="54"/>
        <v>0</v>
      </c>
      <c r="E254" s="95">
        <f t="shared" si="54"/>
        <v>0</v>
      </c>
      <c r="F254" s="95">
        <f t="shared" si="54"/>
        <v>0</v>
      </c>
      <c r="G254" s="95">
        <f t="shared" si="54"/>
        <v>0</v>
      </c>
      <c r="H254" s="95">
        <f t="shared" si="54"/>
        <v>0</v>
      </c>
      <c r="I254" s="95">
        <f t="shared" si="54"/>
        <v>0</v>
      </c>
      <c r="J254" s="95">
        <f t="shared" si="54"/>
        <v>0</v>
      </c>
      <c r="K254" s="93"/>
      <c r="L254" s="93"/>
    </row>
    <row r="255" spans="1:12">
      <c r="A255" s="94">
        <f t="shared" ref="A255:A274" si="55">A201</f>
        <v>0</v>
      </c>
      <c r="B255" s="94"/>
      <c r="C255" s="247"/>
      <c r="D255" s="95">
        <f t="shared" si="54"/>
        <v>0</v>
      </c>
      <c r="E255" s="95">
        <f t="shared" si="54"/>
        <v>0</v>
      </c>
      <c r="F255" s="95">
        <f t="shared" si="54"/>
        <v>0</v>
      </c>
      <c r="G255" s="95">
        <f t="shared" si="54"/>
        <v>0</v>
      </c>
      <c r="H255" s="95">
        <f t="shared" si="54"/>
        <v>0</v>
      </c>
      <c r="I255" s="95">
        <f t="shared" si="54"/>
        <v>0</v>
      </c>
      <c r="J255" s="95">
        <f t="shared" si="54"/>
        <v>0</v>
      </c>
      <c r="K255" s="93"/>
      <c r="L255" s="93"/>
    </row>
    <row r="256" spans="1:12">
      <c r="A256" s="96" t="str">
        <f t="shared" si="55"/>
        <v>Fruit  &amp; Vegetables Crop Production Details</v>
      </c>
      <c r="B256" s="94"/>
      <c r="C256" s="247"/>
      <c r="D256" s="95"/>
      <c r="E256" s="95"/>
      <c r="F256" s="95"/>
      <c r="G256" s="95"/>
      <c r="H256" s="95"/>
      <c r="I256" s="95"/>
      <c r="J256" s="95"/>
      <c r="K256" s="93"/>
      <c r="L256" s="93"/>
    </row>
    <row r="257" spans="1:12">
      <c r="A257" s="94" t="str">
        <f t="shared" si="55"/>
        <v>Onion</v>
      </c>
      <c r="B257" s="94" t="s">
        <v>361</v>
      </c>
      <c r="C257" s="247">
        <f>+C203*95/100</f>
        <v>0</v>
      </c>
      <c r="D257" s="95">
        <f t="shared" ref="D257:D274" si="56">B92*$C257*D$172</f>
        <v>0</v>
      </c>
      <c r="E257" s="95">
        <f t="shared" ref="E257:E274" si="57">C92*$C257*E$172</f>
        <v>0</v>
      </c>
      <c r="F257" s="95">
        <f t="shared" ref="F257:F274" si="58">D92*$C257*F$172</f>
        <v>0</v>
      </c>
      <c r="G257" s="95">
        <f t="shared" ref="G257:G274" si="59">E92*$C257*G$172</f>
        <v>0</v>
      </c>
      <c r="H257" s="95">
        <f t="shared" ref="H257:H274" si="60">F92*$C257*H$172</f>
        <v>0</v>
      </c>
      <c r="I257" s="95">
        <f t="shared" ref="I257:I274" si="61">G92*$C257*I$172</f>
        <v>0</v>
      </c>
      <c r="J257" s="95">
        <f t="shared" ref="J257:J274" si="62">H92*$C257*J$172</f>
        <v>0</v>
      </c>
      <c r="K257" s="93"/>
      <c r="L257" s="93"/>
    </row>
    <row r="258" spans="1:12">
      <c r="A258" s="94" t="str">
        <f t="shared" si="55"/>
        <v>Tomato</v>
      </c>
      <c r="B258" s="94" t="s">
        <v>361</v>
      </c>
      <c r="C258" s="247">
        <f>+C204*95/100</f>
        <v>0</v>
      </c>
      <c r="D258" s="95">
        <f t="shared" si="56"/>
        <v>0</v>
      </c>
      <c r="E258" s="95">
        <f t="shared" si="57"/>
        <v>0</v>
      </c>
      <c r="F258" s="95">
        <f t="shared" si="58"/>
        <v>0</v>
      </c>
      <c r="G258" s="95">
        <f t="shared" si="59"/>
        <v>0</v>
      </c>
      <c r="H258" s="95">
        <f t="shared" si="60"/>
        <v>0</v>
      </c>
      <c r="I258" s="95">
        <f t="shared" si="61"/>
        <v>0</v>
      </c>
      <c r="J258" s="95">
        <f t="shared" si="62"/>
        <v>0</v>
      </c>
      <c r="K258" s="93"/>
      <c r="L258" s="93"/>
    </row>
    <row r="259" spans="1:12">
      <c r="A259" s="94" t="str">
        <f t="shared" si="55"/>
        <v>Okra</v>
      </c>
      <c r="B259" s="94" t="s">
        <v>361</v>
      </c>
      <c r="C259" s="247">
        <v>0</v>
      </c>
      <c r="D259" s="95">
        <f t="shared" si="56"/>
        <v>0</v>
      </c>
      <c r="E259" s="95">
        <f t="shared" si="57"/>
        <v>0</v>
      </c>
      <c r="F259" s="95">
        <f t="shared" si="58"/>
        <v>0</v>
      </c>
      <c r="G259" s="95">
        <f t="shared" si="59"/>
        <v>0</v>
      </c>
      <c r="H259" s="95">
        <f t="shared" si="60"/>
        <v>0</v>
      </c>
      <c r="I259" s="95">
        <f t="shared" si="61"/>
        <v>0</v>
      </c>
      <c r="J259" s="95">
        <f t="shared" si="62"/>
        <v>0</v>
      </c>
      <c r="K259" s="93"/>
      <c r="L259" s="93"/>
    </row>
    <row r="260" spans="1:12">
      <c r="A260" s="94" t="str">
        <f t="shared" si="55"/>
        <v>Chilli</v>
      </c>
      <c r="B260" s="94" t="s">
        <v>361</v>
      </c>
      <c r="C260" s="247">
        <f>+C206*95/100</f>
        <v>0</v>
      </c>
      <c r="D260" s="95">
        <f t="shared" si="56"/>
        <v>0</v>
      </c>
      <c r="E260" s="95">
        <f t="shared" si="57"/>
        <v>0</v>
      </c>
      <c r="F260" s="95">
        <f t="shared" si="58"/>
        <v>0</v>
      </c>
      <c r="G260" s="95">
        <f t="shared" si="59"/>
        <v>0</v>
      </c>
      <c r="H260" s="95">
        <f t="shared" si="60"/>
        <v>0</v>
      </c>
      <c r="I260" s="95">
        <f t="shared" si="61"/>
        <v>0</v>
      </c>
      <c r="J260" s="95">
        <f t="shared" si="62"/>
        <v>0</v>
      </c>
      <c r="K260" s="93"/>
      <c r="L260" s="93"/>
    </row>
    <row r="261" spans="1:12">
      <c r="A261" s="94" t="str">
        <f t="shared" si="55"/>
        <v>Potato</v>
      </c>
      <c r="B261" s="94" t="s">
        <v>361</v>
      </c>
      <c r="C261" s="247">
        <f>+C207*95/100</f>
        <v>0</v>
      </c>
      <c r="D261" s="95">
        <f t="shared" si="56"/>
        <v>0</v>
      </c>
      <c r="E261" s="95">
        <f t="shared" si="57"/>
        <v>0</v>
      </c>
      <c r="F261" s="95">
        <f t="shared" si="58"/>
        <v>0</v>
      </c>
      <c r="G261" s="95">
        <f t="shared" si="59"/>
        <v>0</v>
      </c>
      <c r="H261" s="95">
        <f t="shared" si="60"/>
        <v>0</v>
      </c>
      <c r="I261" s="95">
        <f t="shared" si="61"/>
        <v>0</v>
      </c>
      <c r="J261" s="95">
        <f t="shared" si="62"/>
        <v>0</v>
      </c>
      <c r="K261" s="93"/>
      <c r="L261" s="93"/>
    </row>
    <row r="262" spans="1:12">
      <c r="A262" s="94">
        <f t="shared" si="55"/>
        <v>0</v>
      </c>
      <c r="B262" s="94" t="s">
        <v>361</v>
      </c>
      <c r="C262" s="247"/>
      <c r="D262" s="95">
        <f t="shared" si="56"/>
        <v>0</v>
      </c>
      <c r="E262" s="95">
        <f t="shared" si="57"/>
        <v>0</v>
      </c>
      <c r="F262" s="95">
        <f t="shared" si="58"/>
        <v>0</v>
      </c>
      <c r="G262" s="95">
        <f t="shared" si="59"/>
        <v>0</v>
      </c>
      <c r="H262" s="95">
        <f t="shared" si="60"/>
        <v>0</v>
      </c>
      <c r="I262" s="95">
        <f t="shared" si="61"/>
        <v>0</v>
      </c>
      <c r="J262" s="95">
        <f t="shared" si="62"/>
        <v>0</v>
      </c>
      <c r="K262" s="93"/>
      <c r="L262" s="93"/>
    </row>
    <row r="263" spans="1:12">
      <c r="A263" s="94">
        <f t="shared" si="55"/>
        <v>0</v>
      </c>
      <c r="B263" s="94" t="s">
        <v>361</v>
      </c>
      <c r="C263" s="247"/>
      <c r="D263" s="95">
        <f t="shared" si="56"/>
        <v>0</v>
      </c>
      <c r="E263" s="95">
        <f t="shared" si="57"/>
        <v>0</v>
      </c>
      <c r="F263" s="95">
        <f t="shared" si="58"/>
        <v>0</v>
      </c>
      <c r="G263" s="95">
        <f t="shared" si="59"/>
        <v>0</v>
      </c>
      <c r="H263" s="95">
        <f t="shared" si="60"/>
        <v>0</v>
      </c>
      <c r="I263" s="95">
        <f t="shared" si="61"/>
        <v>0</v>
      </c>
      <c r="J263" s="95">
        <f t="shared" si="62"/>
        <v>0</v>
      </c>
      <c r="K263" s="93"/>
      <c r="L263" s="93"/>
    </row>
    <row r="264" spans="1:12">
      <c r="A264" s="94">
        <f t="shared" si="55"/>
        <v>0</v>
      </c>
      <c r="B264" s="94" t="s">
        <v>361</v>
      </c>
      <c r="C264" s="247"/>
      <c r="D264" s="95">
        <f t="shared" si="56"/>
        <v>0</v>
      </c>
      <c r="E264" s="95">
        <f t="shared" si="57"/>
        <v>0</v>
      </c>
      <c r="F264" s="95">
        <f t="shared" si="58"/>
        <v>0</v>
      </c>
      <c r="G264" s="95">
        <f t="shared" si="59"/>
        <v>0</v>
      </c>
      <c r="H264" s="95">
        <f t="shared" si="60"/>
        <v>0</v>
      </c>
      <c r="I264" s="95">
        <f t="shared" si="61"/>
        <v>0</v>
      </c>
      <c r="J264" s="95">
        <f t="shared" si="62"/>
        <v>0</v>
      </c>
      <c r="K264" s="93"/>
      <c r="L264" s="93"/>
    </row>
    <row r="265" spans="1:12">
      <c r="A265" s="94">
        <f t="shared" si="55"/>
        <v>0</v>
      </c>
      <c r="B265" s="94" t="s">
        <v>361</v>
      </c>
      <c r="C265" s="247"/>
      <c r="D265" s="95">
        <f t="shared" si="56"/>
        <v>0</v>
      </c>
      <c r="E265" s="95">
        <f t="shared" si="57"/>
        <v>0</v>
      </c>
      <c r="F265" s="95">
        <f t="shared" si="58"/>
        <v>0</v>
      </c>
      <c r="G265" s="95">
        <f t="shared" si="59"/>
        <v>0</v>
      </c>
      <c r="H265" s="95">
        <f t="shared" si="60"/>
        <v>0</v>
      </c>
      <c r="I265" s="95">
        <f t="shared" si="61"/>
        <v>0</v>
      </c>
      <c r="J265" s="95">
        <f t="shared" si="62"/>
        <v>0</v>
      </c>
      <c r="K265" s="93"/>
      <c r="L265" s="93"/>
    </row>
    <row r="266" spans="1:12">
      <c r="A266" s="94" t="str">
        <f t="shared" si="55"/>
        <v>Onion</v>
      </c>
      <c r="B266" s="94" t="s">
        <v>361</v>
      </c>
      <c r="C266" s="247"/>
      <c r="D266" s="95">
        <f t="shared" si="56"/>
        <v>0</v>
      </c>
      <c r="E266" s="95">
        <f t="shared" si="57"/>
        <v>0</v>
      </c>
      <c r="F266" s="95">
        <f t="shared" si="58"/>
        <v>0</v>
      </c>
      <c r="G266" s="95">
        <f t="shared" si="59"/>
        <v>0</v>
      </c>
      <c r="H266" s="95">
        <f t="shared" si="60"/>
        <v>0</v>
      </c>
      <c r="I266" s="95">
        <f t="shared" si="61"/>
        <v>0</v>
      </c>
      <c r="J266" s="95">
        <f t="shared" si="62"/>
        <v>0</v>
      </c>
      <c r="K266" s="93"/>
      <c r="L266" s="93"/>
    </row>
    <row r="267" spans="1:12">
      <c r="A267" s="94" t="str">
        <f t="shared" si="55"/>
        <v>Tomato</v>
      </c>
      <c r="B267" s="94" t="s">
        <v>361</v>
      </c>
      <c r="C267" s="247"/>
      <c r="D267" s="95">
        <f t="shared" si="56"/>
        <v>0</v>
      </c>
      <c r="E267" s="95">
        <f t="shared" si="57"/>
        <v>0</v>
      </c>
      <c r="F267" s="95">
        <f t="shared" si="58"/>
        <v>0</v>
      </c>
      <c r="G267" s="95">
        <f t="shared" si="59"/>
        <v>0</v>
      </c>
      <c r="H267" s="95">
        <f t="shared" si="60"/>
        <v>0</v>
      </c>
      <c r="I267" s="95">
        <f t="shared" si="61"/>
        <v>0</v>
      </c>
      <c r="J267" s="95">
        <f t="shared" si="62"/>
        <v>0</v>
      </c>
      <c r="K267" s="93"/>
      <c r="L267" s="93"/>
    </row>
    <row r="268" spans="1:12">
      <c r="A268" s="94" t="str">
        <f t="shared" si="55"/>
        <v>Okra</v>
      </c>
      <c r="B268" s="94" t="s">
        <v>361</v>
      </c>
      <c r="C268" s="247"/>
      <c r="D268" s="95">
        <f t="shared" si="56"/>
        <v>0</v>
      </c>
      <c r="E268" s="95">
        <f t="shared" si="57"/>
        <v>0</v>
      </c>
      <c r="F268" s="95">
        <f t="shared" si="58"/>
        <v>0</v>
      </c>
      <c r="G268" s="95">
        <f t="shared" si="59"/>
        <v>0</v>
      </c>
      <c r="H268" s="95">
        <f t="shared" si="60"/>
        <v>0</v>
      </c>
      <c r="I268" s="95">
        <f t="shared" si="61"/>
        <v>0</v>
      </c>
      <c r="J268" s="95">
        <f t="shared" si="62"/>
        <v>0</v>
      </c>
      <c r="K268" s="93"/>
      <c r="L268" s="93"/>
    </row>
    <row r="269" spans="1:12">
      <c r="A269" s="94" t="str">
        <f t="shared" si="55"/>
        <v>Chilli</v>
      </c>
      <c r="B269" s="94" t="s">
        <v>361</v>
      </c>
      <c r="C269" s="247"/>
      <c r="D269" s="95">
        <f t="shared" si="56"/>
        <v>0</v>
      </c>
      <c r="E269" s="95">
        <f t="shared" si="57"/>
        <v>0</v>
      </c>
      <c r="F269" s="95">
        <f t="shared" si="58"/>
        <v>0</v>
      </c>
      <c r="G269" s="95">
        <f t="shared" si="59"/>
        <v>0</v>
      </c>
      <c r="H269" s="95">
        <f t="shared" si="60"/>
        <v>0</v>
      </c>
      <c r="I269" s="95">
        <f t="shared" si="61"/>
        <v>0</v>
      </c>
      <c r="J269" s="95">
        <f t="shared" si="62"/>
        <v>0</v>
      </c>
      <c r="K269" s="93"/>
      <c r="L269" s="93"/>
    </row>
    <row r="270" spans="1:12">
      <c r="A270" s="94" t="str">
        <f t="shared" si="55"/>
        <v>Brinjal</v>
      </c>
      <c r="B270" s="94" t="s">
        <v>361</v>
      </c>
      <c r="C270" s="247"/>
      <c r="D270" s="95">
        <f t="shared" si="56"/>
        <v>0</v>
      </c>
      <c r="E270" s="95">
        <f t="shared" si="57"/>
        <v>0</v>
      </c>
      <c r="F270" s="95">
        <f t="shared" si="58"/>
        <v>0</v>
      </c>
      <c r="G270" s="95">
        <f t="shared" si="59"/>
        <v>0</v>
      </c>
      <c r="H270" s="95">
        <f t="shared" si="60"/>
        <v>0</v>
      </c>
      <c r="I270" s="95">
        <f t="shared" si="61"/>
        <v>0</v>
      </c>
      <c r="J270" s="95">
        <f t="shared" si="62"/>
        <v>0</v>
      </c>
      <c r="K270" s="93"/>
      <c r="L270" s="93"/>
    </row>
    <row r="271" spans="1:12">
      <c r="A271" s="94">
        <f t="shared" si="55"/>
        <v>0</v>
      </c>
      <c r="B271" s="94" t="s">
        <v>361</v>
      </c>
      <c r="C271" s="247"/>
      <c r="D271" s="95">
        <f t="shared" si="56"/>
        <v>0</v>
      </c>
      <c r="E271" s="95">
        <f t="shared" si="57"/>
        <v>0</v>
      </c>
      <c r="F271" s="95">
        <f t="shared" si="58"/>
        <v>0</v>
      </c>
      <c r="G271" s="95">
        <f t="shared" si="59"/>
        <v>0</v>
      </c>
      <c r="H271" s="95">
        <f t="shared" si="60"/>
        <v>0</v>
      </c>
      <c r="I271" s="95">
        <f t="shared" si="61"/>
        <v>0</v>
      </c>
      <c r="J271" s="95">
        <f t="shared" si="62"/>
        <v>0</v>
      </c>
      <c r="K271" s="93"/>
      <c r="L271" s="93"/>
    </row>
    <row r="272" spans="1:12">
      <c r="A272" s="94">
        <f t="shared" si="55"/>
        <v>0</v>
      </c>
      <c r="B272" s="94" t="s">
        <v>361</v>
      </c>
      <c r="C272" s="247"/>
      <c r="D272" s="95">
        <f t="shared" si="56"/>
        <v>0</v>
      </c>
      <c r="E272" s="95">
        <f t="shared" si="57"/>
        <v>0</v>
      </c>
      <c r="F272" s="95">
        <f t="shared" si="58"/>
        <v>0</v>
      </c>
      <c r="G272" s="95">
        <f t="shared" si="59"/>
        <v>0</v>
      </c>
      <c r="H272" s="95">
        <f t="shared" si="60"/>
        <v>0</v>
      </c>
      <c r="I272" s="95">
        <f t="shared" si="61"/>
        <v>0</v>
      </c>
      <c r="J272" s="95">
        <f t="shared" si="62"/>
        <v>0</v>
      </c>
      <c r="K272" s="93"/>
      <c r="L272" s="93"/>
    </row>
    <row r="273" spans="1:12">
      <c r="A273" s="94">
        <f t="shared" si="55"/>
        <v>0</v>
      </c>
      <c r="B273" s="94" t="s">
        <v>361</v>
      </c>
      <c r="C273" s="247"/>
      <c r="D273" s="95">
        <f t="shared" si="56"/>
        <v>0</v>
      </c>
      <c r="E273" s="95">
        <f t="shared" si="57"/>
        <v>0</v>
      </c>
      <c r="F273" s="95">
        <f t="shared" si="58"/>
        <v>0</v>
      </c>
      <c r="G273" s="95">
        <f t="shared" si="59"/>
        <v>0</v>
      </c>
      <c r="H273" s="95">
        <f t="shared" si="60"/>
        <v>0</v>
      </c>
      <c r="I273" s="95">
        <f t="shared" si="61"/>
        <v>0</v>
      </c>
      <c r="J273" s="95">
        <f t="shared" si="62"/>
        <v>0</v>
      </c>
      <c r="K273" s="93"/>
      <c r="L273" s="93"/>
    </row>
    <row r="274" spans="1:12">
      <c r="A274" s="94">
        <f t="shared" si="55"/>
        <v>0</v>
      </c>
      <c r="B274" s="94" t="s">
        <v>361</v>
      </c>
      <c r="C274" s="247"/>
      <c r="D274" s="95">
        <f t="shared" si="56"/>
        <v>0</v>
      </c>
      <c r="E274" s="95">
        <f t="shared" si="57"/>
        <v>0</v>
      </c>
      <c r="F274" s="95">
        <f t="shared" si="58"/>
        <v>0</v>
      </c>
      <c r="G274" s="95">
        <f t="shared" si="59"/>
        <v>0</v>
      </c>
      <c r="H274" s="95">
        <f t="shared" si="60"/>
        <v>0</v>
      </c>
      <c r="I274" s="95">
        <f t="shared" si="61"/>
        <v>0</v>
      </c>
      <c r="J274" s="95">
        <f t="shared" si="62"/>
        <v>0</v>
      </c>
      <c r="K274" s="93"/>
      <c r="L274" s="93"/>
    </row>
    <row r="275" spans="1:12">
      <c r="A275" s="94" t="str">
        <f>A224</f>
        <v>Pomegranate</v>
      </c>
      <c r="B275" s="94" t="s">
        <v>361</v>
      </c>
      <c r="C275" s="247"/>
      <c r="D275" s="95">
        <f t="shared" ref="D275:J280" si="63">B113*$C275*D$172</f>
        <v>0</v>
      </c>
      <c r="E275" s="95">
        <f t="shared" si="63"/>
        <v>0</v>
      </c>
      <c r="F275" s="95">
        <f t="shared" si="63"/>
        <v>0</v>
      </c>
      <c r="G275" s="95">
        <f t="shared" si="63"/>
        <v>0</v>
      </c>
      <c r="H275" s="95">
        <f t="shared" si="63"/>
        <v>0</v>
      </c>
      <c r="I275" s="95">
        <f t="shared" si="63"/>
        <v>0</v>
      </c>
      <c r="J275" s="95">
        <f t="shared" si="63"/>
        <v>0</v>
      </c>
      <c r="K275" s="93"/>
      <c r="L275" s="93"/>
    </row>
    <row r="276" spans="1:12">
      <c r="A276" s="94" t="str">
        <f>A225</f>
        <v>Custard Apple</v>
      </c>
      <c r="B276" s="94" t="s">
        <v>361</v>
      </c>
      <c r="C276" s="247"/>
      <c r="D276" s="95">
        <f t="shared" si="63"/>
        <v>0</v>
      </c>
      <c r="E276" s="95">
        <f t="shared" si="63"/>
        <v>0</v>
      </c>
      <c r="F276" s="95">
        <f t="shared" si="63"/>
        <v>0</v>
      </c>
      <c r="G276" s="95">
        <f t="shared" si="63"/>
        <v>0</v>
      </c>
      <c r="H276" s="95">
        <f t="shared" si="63"/>
        <v>0</v>
      </c>
      <c r="I276" s="95">
        <f t="shared" si="63"/>
        <v>0</v>
      </c>
      <c r="J276" s="95">
        <f t="shared" si="63"/>
        <v>0</v>
      </c>
      <c r="K276" s="93"/>
      <c r="L276" s="93"/>
    </row>
    <row r="277" spans="1:12">
      <c r="A277" s="94" t="str">
        <f>A226</f>
        <v>Guava</v>
      </c>
      <c r="B277" s="94" t="s">
        <v>361</v>
      </c>
      <c r="C277" s="247"/>
      <c r="D277" s="95">
        <f t="shared" si="63"/>
        <v>0</v>
      </c>
      <c r="E277" s="95">
        <f t="shared" si="63"/>
        <v>0</v>
      </c>
      <c r="F277" s="95">
        <f t="shared" si="63"/>
        <v>0</v>
      </c>
      <c r="G277" s="95">
        <f t="shared" si="63"/>
        <v>0</v>
      </c>
      <c r="H277" s="95">
        <f t="shared" si="63"/>
        <v>0</v>
      </c>
      <c r="I277" s="95">
        <f t="shared" si="63"/>
        <v>0</v>
      </c>
      <c r="J277" s="95">
        <f t="shared" si="63"/>
        <v>0</v>
      </c>
      <c r="K277" s="93"/>
      <c r="L277" s="93"/>
    </row>
    <row r="278" spans="1:12">
      <c r="A278" s="94" t="str">
        <f>A227</f>
        <v>Citrus</v>
      </c>
      <c r="B278" s="94" t="s">
        <v>361</v>
      </c>
      <c r="C278" s="247"/>
      <c r="D278" s="95">
        <f t="shared" si="63"/>
        <v>0</v>
      </c>
      <c r="E278" s="95">
        <f t="shared" si="63"/>
        <v>0</v>
      </c>
      <c r="F278" s="95">
        <f t="shared" si="63"/>
        <v>0</v>
      </c>
      <c r="G278" s="95">
        <f t="shared" si="63"/>
        <v>0</v>
      </c>
      <c r="H278" s="95">
        <f t="shared" si="63"/>
        <v>0</v>
      </c>
      <c r="I278" s="95">
        <f t="shared" si="63"/>
        <v>0</v>
      </c>
      <c r="J278" s="95">
        <f t="shared" si="63"/>
        <v>0</v>
      </c>
      <c r="K278" s="93"/>
      <c r="L278" s="93"/>
    </row>
    <row r="279" spans="1:12">
      <c r="A279" s="94">
        <f>A228</f>
        <v>0</v>
      </c>
      <c r="B279" s="94" t="s">
        <v>361</v>
      </c>
      <c r="C279" s="247"/>
      <c r="D279" s="95">
        <f t="shared" si="63"/>
        <v>0</v>
      </c>
      <c r="E279" s="95">
        <f t="shared" si="63"/>
        <v>0</v>
      </c>
      <c r="F279" s="95">
        <f t="shared" si="63"/>
        <v>0</v>
      </c>
      <c r="G279" s="95">
        <f t="shared" si="63"/>
        <v>0</v>
      </c>
      <c r="H279" s="95">
        <f t="shared" si="63"/>
        <v>0</v>
      </c>
      <c r="I279" s="95">
        <f t="shared" si="63"/>
        <v>0</v>
      </c>
      <c r="J279" s="95">
        <f t="shared" si="63"/>
        <v>0</v>
      </c>
      <c r="K279" s="93"/>
      <c r="L279" s="93"/>
    </row>
    <row r="280" spans="1:12">
      <c r="A280" s="94">
        <f>A230</f>
        <v>0</v>
      </c>
      <c r="B280" s="94"/>
      <c r="C280" s="247"/>
      <c r="D280" s="95">
        <f t="shared" si="63"/>
        <v>0</v>
      </c>
      <c r="E280" s="95">
        <f t="shared" si="63"/>
        <v>0</v>
      </c>
      <c r="F280" s="95">
        <f t="shared" si="63"/>
        <v>0</v>
      </c>
      <c r="G280" s="95">
        <f t="shared" si="63"/>
        <v>0</v>
      </c>
      <c r="H280" s="95">
        <f t="shared" si="63"/>
        <v>0</v>
      </c>
      <c r="I280" s="95">
        <f t="shared" si="63"/>
        <v>0</v>
      </c>
      <c r="J280" s="95">
        <f t="shared" si="63"/>
        <v>0</v>
      </c>
      <c r="K280" s="93"/>
      <c r="L280" s="93"/>
    </row>
    <row r="281" spans="1:12">
      <c r="A281" s="94"/>
      <c r="B281" s="94"/>
      <c r="C281" s="247"/>
      <c r="D281" s="95"/>
      <c r="E281" s="95"/>
      <c r="F281" s="95"/>
      <c r="G281" s="95"/>
      <c r="H281" s="95"/>
      <c r="I281" s="95"/>
      <c r="J281" s="95"/>
      <c r="K281" s="93"/>
      <c r="L281" s="93"/>
    </row>
    <row r="282" spans="1:12">
      <c r="A282" s="94" t="s">
        <v>309</v>
      </c>
      <c r="B282" s="229">
        <v>5</v>
      </c>
      <c r="C282" s="229">
        <v>30</v>
      </c>
      <c r="D282" s="95">
        <f t="shared" ref="D282:J282" si="64">B10*$B$282*$C$282*D172</f>
        <v>971.7890625</v>
      </c>
      <c r="E282" s="95">
        <f t="shared" si="64"/>
        <v>1190.4416015625</v>
      </c>
      <c r="F282" s="95">
        <f t="shared" si="64"/>
        <v>1428.5299218750001</v>
      </c>
      <c r="G282" s="95">
        <f t="shared" si="64"/>
        <v>1687.4509702148441</v>
      </c>
      <c r="H282" s="95">
        <f t="shared" si="64"/>
        <v>1968.6927985839839</v>
      </c>
      <c r="I282" s="95">
        <f t="shared" si="64"/>
        <v>2273.8401823645017</v>
      </c>
      <c r="J282" s="95">
        <f t="shared" si="64"/>
        <v>2604.5805725266123</v>
      </c>
      <c r="K282" s="93"/>
      <c r="L282" s="93"/>
    </row>
    <row r="283" spans="1:12">
      <c r="A283" s="94" t="s">
        <v>143</v>
      </c>
      <c r="B283" s="94">
        <f>'2.Capex Details'!H61*0.746*8</f>
        <v>0</v>
      </c>
      <c r="C283" s="229">
        <v>6</v>
      </c>
      <c r="D283" s="95">
        <f t="shared" ref="D283:J283" si="65">$B$283*$C$283*D172*B10</f>
        <v>0</v>
      </c>
      <c r="E283" s="95">
        <f t="shared" si="65"/>
        <v>0</v>
      </c>
      <c r="F283" s="95">
        <f t="shared" si="65"/>
        <v>0</v>
      </c>
      <c r="G283" s="95">
        <f t="shared" si="65"/>
        <v>0</v>
      </c>
      <c r="H283" s="95">
        <f t="shared" si="65"/>
        <v>0</v>
      </c>
      <c r="I283" s="95">
        <f t="shared" si="65"/>
        <v>0</v>
      </c>
      <c r="J283" s="95">
        <f t="shared" si="65"/>
        <v>0</v>
      </c>
      <c r="K283" s="93"/>
      <c r="L283" s="93"/>
    </row>
    <row r="284" spans="1:12">
      <c r="A284" s="94" t="s">
        <v>464</v>
      </c>
      <c r="B284" s="94"/>
      <c r="C284" s="229">
        <v>30</v>
      </c>
      <c r="D284" s="95">
        <f t="shared" ref="D284:J284" si="66">SUM(B120:B141)*$C$284*D172</f>
        <v>90492.997500000012</v>
      </c>
      <c r="E284" s="95">
        <f t="shared" si="66"/>
        <v>110853.9219375</v>
      </c>
      <c r="F284" s="95">
        <f t="shared" si="66"/>
        <v>133024.70632499998</v>
      </c>
      <c r="G284" s="95">
        <f t="shared" si="66"/>
        <v>157135.43434640623</v>
      </c>
      <c r="H284" s="95">
        <f t="shared" si="66"/>
        <v>183324.6734041406</v>
      </c>
      <c r="I284" s="95">
        <f t="shared" si="66"/>
        <v>211739.99778178247</v>
      </c>
      <c r="J284" s="95">
        <f t="shared" si="66"/>
        <v>242538.5429136781</v>
      </c>
      <c r="K284" s="93"/>
      <c r="L284" s="93"/>
    </row>
    <row r="285" spans="1:12">
      <c r="A285" s="94" t="s">
        <v>463</v>
      </c>
      <c r="B285" s="94"/>
      <c r="C285" s="229">
        <v>30</v>
      </c>
      <c r="D285" s="95">
        <f t="shared" ref="D285:J285" si="67">SUM(B120:B141)*$C$285*D172</f>
        <v>90492.997500000012</v>
      </c>
      <c r="E285" s="95">
        <f t="shared" si="67"/>
        <v>110853.9219375</v>
      </c>
      <c r="F285" s="95">
        <f t="shared" si="67"/>
        <v>133024.70632499998</v>
      </c>
      <c r="G285" s="95">
        <f t="shared" si="67"/>
        <v>157135.43434640623</v>
      </c>
      <c r="H285" s="95">
        <f t="shared" si="67"/>
        <v>183324.6734041406</v>
      </c>
      <c r="I285" s="95">
        <f t="shared" si="67"/>
        <v>211739.99778178247</v>
      </c>
      <c r="J285" s="95">
        <f t="shared" si="67"/>
        <v>242538.5429136781</v>
      </c>
      <c r="K285" s="93"/>
      <c r="L285" s="93"/>
    </row>
    <row r="286" spans="1:12">
      <c r="A286" s="10"/>
      <c r="B286" s="10"/>
      <c r="C286" s="10"/>
      <c r="D286" s="10"/>
      <c r="E286" s="10"/>
      <c r="F286" s="10"/>
      <c r="G286" s="10"/>
      <c r="H286" s="10"/>
      <c r="I286" s="10"/>
      <c r="J286" s="10"/>
      <c r="K286" s="93"/>
      <c r="L286" s="93"/>
    </row>
    <row r="287" spans="1:12">
      <c r="A287" s="10"/>
      <c r="B287" s="10"/>
      <c r="C287" s="10"/>
      <c r="D287" s="10"/>
      <c r="E287" s="10"/>
      <c r="F287" s="10"/>
      <c r="G287" s="10"/>
      <c r="H287" s="10"/>
      <c r="I287" s="10"/>
      <c r="J287" s="10"/>
      <c r="K287" s="93"/>
      <c r="L287" s="93"/>
    </row>
    <row r="288" spans="1:12">
      <c r="A288" s="10"/>
      <c r="B288" s="10"/>
      <c r="C288" s="10"/>
      <c r="D288" s="10"/>
      <c r="E288" s="10"/>
      <c r="F288" s="10"/>
      <c r="G288" s="10"/>
      <c r="H288" s="10"/>
      <c r="I288" s="10"/>
      <c r="J288" s="10"/>
      <c r="K288" s="93"/>
      <c r="L288" s="93"/>
    </row>
    <row r="289" spans="1:20">
      <c r="A289" s="98" t="s">
        <v>341</v>
      </c>
      <c r="B289" s="94"/>
      <c r="C289" s="94"/>
      <c r="D289" s="199"/>
      <c r="E289" s="199">
        <f>'5.Closing Stock &amp; W Capital'!F6</f>
        <v>5289011.1146250004</v>
      </c>
      <c r="F289" s="199">
        <f>'5.Closing Stock &amp; W Capital'!G6</f>
        <v>6479038.6154156253</v>
      </c>
      <c r="G289" s="199">
        <f>'5.Closing Stock &amp; W Capital'!H6</f>
        <v>7774846.3384987488</v>
      </c>
      <c r="H289" s="199">
        <f>'5.Closing Stock &amp; W Capital'!I6</f>
        <v>9184037.2373516485</v>
      </c>
      <c r="I289" s="199">
        <f>'5.Closing Stock &amp; W Capital'!J6</f>
        <v>10714710.110243591</v>
      </c>
      <c r="J289" s="199">
        <f>'5.Closing Stock &amp; W Capital'!K6</f>
        <v>12375490.177331345</v>
      </c>
      <c r="K289" s="93"/>
      <c r="L289" s="93"/>
    </row>
    <row r="290" spans="1:20">
      <c r="A290" s="98" t="s">
        <v>342</v>
      </c>
      <c r="B290" s="94"/>
      <c r="C290" s="199"/>
      <c r="D290" s="199">
        <f>'5.Closing Stock &amp; W Capital'!E15</f>
        <v>5289011.1146250004</v>
      </c>
      <c r="E290" s="199">
        <f>'5.Closing Stock &amp; W Capital'!F15</f>
        <v>6479038.6154156253</v>
      </c>
      <c r="F290" s="199">
        <f>'5.Closing Stock &amp; W Capital'!G15</f>
        <v>7774846.3384987488</v>
      </c>
      <c r="G290" s="199">
        <f>'5.Closing Stock &amp; W Capital'!H15</f>
        <v>9184037.2373516485</v>
      </c>
      <c r="H290" s="199">
        <f>'5.Closing Stock &amp; W Capital'!I15</f>
        <v>10714710.110243591</v>
      </c>
      <c r="I290" s="199">
        <f>'5.Closing Stock &amp; W Capital'!J15</f>
        <v>12375490.177331345</v>
      </c>
      <c r="J290" s="199">
        <f>'5.Closing Stock &amp; W Capital'!K15</f>
        <v>14175561.47585227</v>
      </c>
      <c r="K290" s="93"/>
      <c r="L290" s="93"/>
    </row>
    <row r="291" spans="1:20">
      <c r="A291" s="98"/>
      <c r="B291" s="94"/>
      <c r="C291" s="202"/>
      <c r="D291" s="199"/>
      <c r="E291" s="199"/>
      <c r="F291" s="199"/>
      <c r="G291" s="199"/>
      <c r="H291" s="199"/>
      <c r="I291" s="199"/>
      <c r="J291" s="199"/>
      <c r="K291" s="93"/>
      <c r="L291" s="93"/>
      <c r="M291" s="93"/>
      <c r="N291" s="93"/>
      <c r="O291" s="93"/>
      <c r="P291" s="93"/>
      <c r="Q291" s="93"/>
      <c r="R291" s="93"/>
      <c r="S291" s="93"/>
      <c r="T291" s="93"/>
    </row>
    <row r="292" spans="1:20">
      <c r="A292" s="96" t="s">
        <v>319</v>
      </c>
      <c r="B292" s="96"/>
      <c r="C292" s="96"/>
      <c r="D292" s="114">
        <f t="shared" ref="D292:J292" si="68">SUM(D233:D289)-D290</f>
        <v>8024009.6694375006</v>
      </c>
      <c r="E292" s="114">
        <f t="shared" si="68"/>
        <v>15118422.959685937</v>
      </c>
      <c r="F292" s="114">
        <f t="shared" si="68"/>
        <v>18274332.829488747</v>
      </c>
      <c r="G292" s="114">
        <f t="shared" si="68"/>
        <v>21708037.628872629</v>
      </c>
      <c r="H292" s="114">
        <f t="shared" si="68"/>
        <v>25439427.076121181</v>
      </c>
      <c r="I292" s="114">
        <f t="shared" si="68"/>
        <v>29489685.374022394</v>
      </c>
      <c r="J292" s="114">
        <f t="shared" si="68"/>
        <v>33881370.934023425</v>
      </c>
      <c r="K292" s="93"/>
      <c r="L292" s="93"/>
      <c r="M292" s="93"/>
      <c r="N292" s="93"/>
      <c r="O292" s="93"/>
      <c r="P292" s="93"/>
      <c r="Q292" s="93"/>
      <c r="R292" s="93"/>
      <c r="S292" s="93"/>
      <c r="T292" s="93"/>
    </row>
    <row r="293" spans="1:20">
      <c r="A293" s="96" t="s">
        <v>310</v>
      </c>
      <c r="B293" s="94"/>
      <c r="C293" s="94"/>
      <c r="D293" s="109"/>
      <c r="E293" s="109"/>
      <c r="F293" s="109"/>
      <c r="G293" s="109"/>
      <c r="H293" s="109"/>
      <c r="I293" s="94"/>
      <c r="J293" s="94"/>
      <c r="K293" s="93"/>
      <c r="L293" s="93"/>
      <c r="M293" s="93"/>
      <c r="N293" s="93"/>
      <c r="O293" s="93"/>
      <c r="P293" s="93"/>
      <c r="Q293" s="93"/>
      <c r="R293" s="93"/>
      <c r="S293" s="93"/>
      <c r="T293" s="93"/>
    </row>
    <row r="294" spans="1:20">
      <c r="A294" s="94" t="s">
        <v>698</v>
      </c>
      <c r="B294" s="229">
        <v>10</v>
      </c>
      <c r="C294" s="247">
        <v>15000</v>
      </c>
      <c r="D294" s="95">
        <f t="shared" ref="D294:J294" si="69">$B$294*$C$294*12*D172</f>
        <v>1800000</v>
      </c>
      <c r="E294" s="95">
        <f t="shared" si="69"/>
        <v>1890000</v>
      </c>
      <c r="F294" s="95">
        <f t="shared" si="69"/>
        <v>1984500</v>
      </c>
      <c r="G294" s="95">
        <f t="shared" si="69"/>
        <v>2083725.0000000002</v>
      </c>
      <c r="H294" s="95">
        <f t="shared" si="69"/>
        <v>2187911.2500000005</v>
      </c>
      <c r="I294" s="95">
        <f t="shared" si="69"/>
        <v>2297306.8125000005</v>
      </c>
      <c r="J294" s="95">
        <f t="shared" si="69"/>
        <v>2412172.1531250007</v>
      </c>
      <c r="K294" s="93"/>
      <c r="L294" s="93"/>
      <c r="M294" s="93"/>
      <c r="N294" s="93"/>
      <c r="O294" s="93"/>
      <c r="P294" s="93"/>
      <c r="Q294" s="93"/>
      <c r="R294" s="93"/>
      <c r="S294" s="93"/>
      <c r="T294" s="93"/>
    </row>
    <row r="295" spans="1:20">
      <c r="A295" s="94"/>
      <c r="B295" s="229"/>
      <c r="C295" s="247"/>
      <c r="D295" s="95"/>
      <c r="E295" s="95"/>
      <c r="F295" s="95"/>
      <c r="G295" s="95"/>
      <c r="H295" s="95"/>
      <c r="I295" s="95"/>
      <c r="J295" s="95"/>
      <c r="K295" s="93"/>
      <c r="L295" s="93"/>
      <c r="M295" s="93"/>
      <c r="N295" s="203"/>
      <c r="O295" s="93"/>
      <c r="P295" s="93"/>
      <c r="Q295" s="93"/>
      <c r="R295" s="93"/>
      <c r="S295" s="93"/>
      <c r="T295" s="93"/>
    </row>
    <row r="296" spans="1:20">
      <c r="A296" s="94"/>
      <c r="B296" s="229"/>
      <c r="C296" s="247"/>
      <c r="D296" s="95"/>
      <c r="E296" s="95"/>
      <c r="F296" s="95"/>
      <c r="G296" s="95"/>
      <c r="H296" s="95"/>
      <c r="I296" s="95"/>
      <c r="J296" s="95"/>
      <c r="K296" s="93"/>
      <c r="L296" s="93"/>
      <c r="M296" s="93"/>
      <c r="N296" s="93"/>
      <c r="O296" s="93"/>
      <c r="P296" s="93"/>
      <c r="Q296" s="93"/>
      <c r="R296" s="93"/>
      <c r="S296" s="93"/>
      <c r="T296" s="93"/>
    </row>
    <row r="297" spans="1:20">
      <c r="A297" s="94"/>
      <c r="B297" s="229"/>
      <c r="C297" s="247"/>
      <c r="D297" s="95"/>
      <c r="E297" s="95"/>
      <c r="F297" s="95"/>
      <c r="G297" s="95"/>
      <c r="H297" s="95"/>
      <c r="I297" s="95"/>
      <c r="J297" s="95"/>
      <c r="K297" s="93"/>
      <c r="L297" s="93"/>
      <c r="M297" s="93"/>
      <c r="N297" s="93"/>
      <c r="O297" s="93"/>
      <c r="P297" s="93"/>
      <c r="Q297" s="93"/>
      <c r="R297" s="93"/>
      <c r="S297" s="93"/>
      <c r="T297" s="93"/>
    </row>
    <row r="298" spans="1:20">
      <c r="A298" s="94"/>
      <c r="B298" s="229"/>
      <c r="C298" s="247"/>
      <c r="D298" s="95"/>
      <c r="E298" s="95"/>
      <c r="F298" s="95"/>
      <c r="G298" s="95"/>
      <c r="H298" s="95"/>
      <c r="I298" s="95"/>
      <c r="J298" s="95"/>
      <c r="K298" s="93"/>
      <c r="L298" s="93"/>
      <c r="M298" s="93"/>
      <c r="N298" s="93"/>
      <c r="O298" s="93"/>
      <c r="P298" s="93"/>
      <c r="Q298" s="93"/>
      <c r="R298" s="93"/>
      <c r="S298" s="93"/>
      <c r="T298" s="93"/>
    </row>
    <row r="299" spans="1:20">
      <c r="A299" s="94"/>
      <c r="B299" s="229"/>
      <c r="C299" s="247"/>
      <c r="D299" s="95"/>
      <c r="E299" s="95"/>
      <c r="F299" s="95"/>
      <c r="G299" s="95"/>
      <c r="H299" s="95"/>
      <c r="I299" s="95"/>
      <c r="J299" s="95"/>
      <c r="K299" s="93"/>
      <c r="L299" s="93"/>
      <c r="M299" s="93"/>
      <c r="N299" s="93"/>
      <c r="O299" s="93"/>
      <c r="P299" s="93"/>
      <c r="Q299" s="93"/>
      <c r="R299" s="93"/>
      <c r="S299" s="93"/>
      <c r="T299" s="93"/>
    </row>
    <row r="300" spans="1:20">
      <c r="A300" s="94"/>
      <c r="B300" s="229"/>
      <c r="C300" s="247"/>
      <c r="D300" s="95"/>
      <c r="E300" s="95"/>
      <c r="F300" s="95"/>
      <c r="G300" s="95"/>
      <c r="H300" s="95"/>
      <c r="I300" s="95"/>
      <c r="J300" s="95"/>
      <c r="K300" s="93"/>
      <c r="L300" s="93"/>
      <c r="M300" s="93"/>
      <c r="N300" s="93"/>
      <c r="O300" s="93"/>
      <c r="P300" s="93"/>
      <c r="Q300" s="93"/>
      <c r="R300" s="93"/>
      <c r="S300" s="93"/>
      <c r="T300" s="93"/>
    </row>
    <row r="301" spans="1:20">
      <c r="A301" s="96" t="s">
        <v>323</v>
      </c>
      <c r="B301" s="234"/>
      <c r="C301" s="234"/>
      <c r="D301" s="114">
        <f t="shared" ref="D301:J301" si="70">SUM(D294:D300)</f>
        <v>1800000</v>
      </c>
      <c r="E301" s="114">
        <f t="shared" si="70"/>
        <v>1890000</v>
      </c>
      <c r="F301" s="114">
        <f t="shared" si="70"/>
        <v>1984500</v>
      </c>
      <c r="G301" s="114">
        <f t="shared" si="70"/>
        <v>2083725.0000000002</v>
      </c>
      <c r="H301" s="114">
        <f t="shared" si="70"/>
        <v>2187911.2500000005</v>
      </c>
      <c r="I301" s="114">
        <f t="shared" si="70"/>
        <v>2297306.8125000005</v>
      </c>
      <c r="J301" s="114">
        <f t="shared" si="70"/>
        <v>2412172.1531250007</v>
      </c>
      <c r="K301" s="93"/>
      <c r="L301" s="93"/>
      <c r="M301" s="93"/>
      <c r="N301" s="203"/>
      <c r="O301" s="93"/>
      <c r="P301" s="93"/>
      <c r="Q301" s="93"/>
      <c r="R301" s="93"/>
      <c r="S301" s="93"/>
      <c r="T301" s="93"/>
    </row>
    <row r="302" spans="1:20">
      <c r="A302" s="96" t="s">
        <v>129</v>
      </c>
      <c r="B302" s="96"/>
      <c r="C302" s="96"/>
      <c r="D302" s="114">
        <f t="shared" ref="D302:J302" si="71">D292+D301</f>
        <v>9824009.6694375016</v>
      </c>
      <c r="E302" s="114">
        <f t="shared" si="71"/>
        <v>17008422.959685937</v>
      </c>
      <c r="F302" s="114">
        <f t="shared" si="71"/>
        <v>20258832.829488747</v>
      </c>
      <c r="G302" s="114">
        <f t="shared" si="71"/>
        <v>23791762.628872629</v>
      </c>
      <c r="H302" s="114">
        <f t="shared" si="71"/>
        <v>27627338.326121181</v>
      </c>
      <c r="I302" s="114">
        <f t="shared" si="71"/>
        <v>31786992.186522394</v>
      </c>
      <c r="J302" s="114">
        <f t="shared" si="71"/>
        <v>36293543.087148428</v>
      </c>
      <c r="K302" s="93"/>
      <c r="L302" s="93"/>
      <c r="M302" s="93"/>
      <c r="N302" s="93"/>
      <c r="O302" s="93"/>
      <c r="P302" s="93"/>
      <c r="Q302" s="93"/>
      <c r="R302" s="93"/>
      <c r="S302" s="93"/>
      <c r="T302" s="93"/>
    </row>
    <row r="303" spans="1:20">
      <c r="A303" s="94"/>
      <c r="B303" s="94"/>
      <c r="C303" s="94"/>
      <c r="D303" s="109"/>
      <c r="E303" s="109"/>
      <c r="F303" s="109"/>
      <c r="G303" s="109"/>
      <c r="H303" s="109"/>
      <c r="I303" s="94"/>
      <c r="J303" s="94"/>
      <c r="K303" s="93"/>
      <c r="L303" s="93"/>
      <c r="M303" s="93"/>
      <c r="N303" s="93"/>
      <c r="O303" s="93"/>
      <c r="P303" s="93"/>
      <c r="Q303" s="93"/>
      <c r="R303" s="93"/>
      <c r="S303" s="93"/>
      <c r="T303" s="93"/>
    </row>
    <row r="304" spans="1:20">
      <c r="A304" s="96"/>
      <c r="B304" s="96"/>
      <c r="C304" s="96"/>
      <c r="D304" s="109"/>
      <c r="E304" s="109"/>
      <c r="F304" s="109"/>
      <c r="G304" s="109"/>
      <c r="H304" s="109"/>
      <c r="I304" s="94"/>
      <c r="J304" s="94"/>
      <c r="K304" s="93"/>
      <c r="L304" s="93"/>
      <c r="M304" s="93"/>
      <c r="N304" s="93"/>
      <c r="O304" s="93"/>
      <c r="P304" s="93"/>
      <c r="Q304" s="93"/>
      <c r="R304" s="93"/>
      <c r="S304" s="93"/>
      <c r="T304" s="93"/>
    </row>
    <row r="305" spans="1:20">
      <c r="A305" s="96" t="s">
        <v>314</v>
      </c>
      <c r="B305" s="96"/>
      <c r="C305" s="96"/>
      <c r="D305" s="114">
        <f t="shared" ref="D305:J305" si="72">D229-D302</f>
        <v>-124492.04943750426</v>
      </c>
      <c r="E305" s="114">
        <f t="shared" si="72"/>
        <v>1626868.3338140585</v>
      </c>
      <c r="F305" s="114">
        <f t="shared" si="72"/>
        <v>2272351.27793625</v>
      </c>
      <c r="G305" s="114">
        <f t="shared" si="72"/>
        <v>2978315.3456361145</v>
      </c>
      <c r="H305" s="114">
        <f t="shared" si="72"/>
        <v>3749194.9419111274</v>
      </c>
      <c r="I305" s="114">
        <f t="shared" si="72"/>
        <v>4589716.7094495669</v>
      </c>
      <c r="J305" s="114">
        <f t="shared" si="72"/>
        <v>5504917.6663870737</v>
      </c>
      <c r="K305" s="93"/>
      <c r="L305" s="93"/>
      <c r="M305" s="93"/>
      <c r="N305" s="93"/>
      <c r="O305" s="93"/>
      <c r="P305" s="93"/>
      <c r="Q305" s="93"/>
      <c r="R305" s="93"/>
      <c r="S305" s="93"/>
      <c r="T305" s="93"/>
    </row>
    <row r="306" spans="1:20">
      <c r="A306" s="93"/>
      <c r="B306" s="93"/>
      <c r="C306" s="93"/>
      <c r="D306" s="93"/>
      <c r="E306" s="93"/>
      <c r="F306" s="93"/>
      <c r="G306" s="93"/>
      <c r="H306" s="93"/>
      <c r="I306" s="93"/>
      <c r="J306" s="93"/>
    </row>
    <row r="307" spans="1:20">
      <c r="A307" s="93" t="s">
        <v>51</v>
      </c>
      <c r="B307" s="93"/>
      <c r="C307" s="93"/>
      <c r="D307" s="93"/>
      <c r="E307" s="93"/>
      <c r="F307" s="93"/>
      <c r="G307" s="93"/>
      <c r="H307" s="93"/>
      <c r="I307" s="93"/>
      <c r="J307" s="93"/>
    </row>
    <row r="308" spans="1:20">
      <c r="A308" s="413" t="s">
        <v>422</v>
      </c>
      <c r="B308" s="413"/>
      <c r="C308" s="413"/>
      <c r="D308" s="413"/>
      <c r="E308" s="413"/>
      <c r="F308" s="413"/>
      <c r="G308" s="413"/>
      <c r="H308" s="413"/>
      <c r="I308" s="413"/>
      <c r="J308" s="413"/>
    </row>
    <row r="310" spans="1:20">
      <c r="A310" t="s">
        <v>536</v>
      </c>
    </row>
    <row r="311" spans="1:20">
      <c r="A311">
        <v>1</v>
      </c>
      <c r="B311" t="s">
        <v>547</v>
      </c>
    </row>
    <row r="312" spans="1:20">
      <c r="A312">
        <v>2</v>
      </c>
      <c r="B312" t="s">
        <v>548</v>
      </c>
    </row>
    <row r="313" spans="1:20">
      <c r="A313">
        <v>3</v>
      </c>
      <c r="B313" s="93" t="s">
        <v>588</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50" orientation="landscape" r:id="rId1"/>
  <rowBreaks count="1" manualBreakCount="1">
    <brk id="65"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0"/>
  <sheetViews>
    <sheetView view="pageBreakPreview" zoomScale="80" zoomScaleSheetLayoutView="80" workbookViewId="0">
      <selection activeCell="B5" sqref="B5"/>
    </sheetView>
  </sheetViews>
  <sheetFormatPr defaultRowHeight="15"/>
  <cols>
    <col min="1" max="1" width="41.7109375" bestFit="1" customWidth="1"/>
    <col min="2" max="2" width="12.42578125" customWidth="1"/>
    <col min="3" max="3" width="12" customWidth="1"/>
    <col min="4" max="4" width="15.140625" customWidth="1"/>
    <col min="5" max="8" width="17.28515625" customWidth="1"/>
    <col min="9" max="10" width="16.85546875" bestFit="1" customWidth="1"/>
  </cols>
  <sheetData>
    <row r="3" spans="1:8" ht="18.75">
      <c r="A3" s="412" t="s">
        <v>688</v>
      </c>
      <c r="B3" s="412"/>
      <c r="C3" s="412"/>
      <c r="D3" s="412"/>
      <c r="E3" s="412"/>
      <c r="F3" s="412"/>
      <c r="G3" s="412"/>
      <c r="H3" s="412"/>
    </row>
    <row r="4" spans="1:8" ht="18.75">
      <c r="A4" s="412" t="s">
        <v>574</v>
      </c>
      <c r="B4" s="412"/>
      <c r="C4" s="412"/>
      <c r="D4" s="412"/>
      <c r="E4" s="412"/>
      <c r="F4" s="412"/>
      <c r="G4" s="412"/>
      <c r="H4" s="412"/>
    </row>
    <row r="5" spans="1:8">
      <c r="A5" s="93" t="s">
        <v>159</v>
      </c>
      <c r="B5" s="240">
        <f>10000/100</f>
        <v>100</v>
      </c>
      <c r="C5" s="93" t="s">
        <v>474</v>
      </c>
      <c r="D5" s="93" t="s">
        <v>712</v>
      </c>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B32/($B$5*$B$6)</f>
        <v>1.6026562499999997</v>
      </c>
      <c r="C12" s="301">
        <f t="shared" ref="C12:H12" si="0">C32/($B$5*$B$6)</f>
        <v>2.4039843750000007</v>
      </c>
      <c r="D12" s="301">
        <f t="shared" si="0"/>
        <v>3.2053124999999993</v>
      </c>
      <c r="E12" s="301">
        <f t="shared" si="0"/>
        <v>4.0066406250000002</v>
      </c>
      <c r="F12" s="301">
        <f t="shared" si="0"/>
        <v>4.8079687499999997</v>
      </c>
      <c r="G12" s="301">
        <f t="shared" si="0"/>
        <v>5.609296875000001</v>
      </c>
      <c r="H12" s="301">
        <f t="shared" si="0"/>
        <v>6.4106249999999987</v>
      </c>
    </row>
    <row r="13" spans="1:8">
      <c r="A13" s="94" t="str">
        <f>'10.Grain Production details'!A67</f>
        <v>Soybean</v>
      </c>
      <c r="B13" s="94">
        <f>'10.Grain Production details'!B67</f>
        <v>0</v>
      </c>
      <c r="C13" s="94">
        <f>'10.Grain Production details'!C67</f>
        <v>0</v>
      </c>
      <c r="D13" s="94">
        <f>'10.Grain Production details'!D67</f>
        <v>0</v>
      </c>
      <c r="E13" s="94">
        <f>'10.Grain Production details'!E67</f>
        <v>0</v>
      </c>
      <c r="F13" s="94">
        <f>'10.Grain Production details'!F67</f>
        <v>0</v>
      </c>
      <c r="G13" s="94">
        <f>'10.Grain Production details'!G67</f>
        <v>0</v>
      </c>
      <c r="H13" s="94">
        <f>'10.Grain Production details'!H67</f>
        <v>0</v>
      </c>
    </row>
    <row r="14" spans="1:8">
      <c r="A14" s="94" t="str">
        <f>'10.Grain Production details'!A68</f>
        <v>Tur</v>
      </c>
      <c r="B14" s="94">
        <f>'10.Grain Production details'!B68</f>
        <v>47.5</v>
      </c>
      <c r="C14" s="94">
        <f>'10.Grain Production details'!C68</f>
        <v>71.250000000000014</v>
      </c>
      <c r="D14" s="94">
        <f>'10.Grain Production details'!D68</f>
        <v>95</v>
      </c>
      <c r="E14" s="94">
        <f>'10.Grain Production details'!E68</f>
        <v>118.75</v>
      </c>
      <c r="F14" s="94">
        <f>'10.Grain Production details'!F68</f>
        <v>142.5</v>
      </c>
      <c r="G14" s="94">
        <f>'10.Grain Production details'!G68</f>
        <v>166.25</v>
      </c>
      <c r="H14" s="94">
        <f>'10.Grain Production details'!H68</f>
        <v>190</v>
      </c>
    </row>
    <row r="15" spans="1:8">
      <c r="A15" s="94" t="str">
        <f>'10.Grain Production details'!A69</f>
        <v>Turmeric</v>
      </c>
      <c r="B15" s="94">
        <f>'10.Grain Production details'!B69</f>
        <v>519.75</v>
      </c>
      <c r="C15" s="94">
        <f>'10.Grain Production details'!C69</f>
        <v>779.62500000000011</v>
      </c>
      <c r="D15" s="94">
        <f>'10.Grain Production details'!D69</f>
        <v>1039.5</v>
      </c>
      <c r="E15" s="94">
        <f>'10.Grain Production details'!E69</f>
        <v>1299.375</v>
      </c>
      <c r="F15" s="94">
        <f>'10.Grain Production details'!F69</f>
        <v>1559.25</v>
      </c>
      <c r="G15" s="94">
        <f>'10.Grain Production details'!G69</f>
        <v>1819.1249999999998</v>
      </c>
      <c r="H15" s="94">
        <f>'10.Grain Production details'!H69</f>
        <v>2079</v>
      </c>
    </row>
    <row r="16" spans="1:8">
      <c r="A16" s="94" t="str">
        <f>'10.Grain Production details'!A70</f>
        <v>Moong</v>
      </c>
      <c r="B16" s="94">
        <f>'10.Grain Production details'!B70</f>
        <v>34.65</v>
      </c>
      <c r="C16" s="94">
        <f>'10.Grain Production details'!C70</f>
        <v>51.975000000000001</v>
      </c>
      <c r="D16" s="94">
        <f>'10.Grain Production details'!D70</f>
        <v>69.3</v>
      </c>
      <c r="E16" s="94">
        <f>'10.Grain Production details'!E70</f>
        <v>86.624999999999986</v>
      </c>
      <c r="F16" s="94">
        <f>'10.Grain Production details'!F70</f>
        <v>103.94999999999997</v>
      </c>
      <c r="G16" s="94">
        <f>'10.Grain Production details'!G70</f>
        <v>121.27499999999998</v>
      </c>
      <c r="H16" s="94">
        <f>'10.Grain Production details'!H70</f>
        <v>138.59999999999997</v>
      </c>
    </row>
    <row r="17" spans="1:8">
      <c r="A17" s="94" t="str">
        <f>'10.Grain Production details'!A71</f>
        <v>Maize</v>
      </c>
      <c r="B17" s="94">
        <f>'10.Grain Production details'!B71</f>
        <v>0</v>
      </c>
      <c r="C17" s="94">
        <f>'10.Grain Production details'!C71</f>
        <v>0</v>
      </c>
      <c r="D17" s="94">
        <f>'10.Grain Production details'!D71</f>
        <v>0</v>
      </c>
      <c r="E17" s="94">
        <f>'10.Grain Production details'!E71</f>
        <v>0</v>
      </c>
      <c r="F17" s="94">
        <f>'10.Grain Production details'!F71</f>
        <v>0</v>
      </c>
      <c r="G17" s="94">
        <f>'10.Grain Production details'!G71</f>
        <v>0</v>
      </c>
      <c r="H17" s="94">
        <f>'10.Grain Production details'!H71</f>
        <v>0</v>
      </c>
    </row>
    <row r="18" spans="1:8">
      <c r="A18" s="94" t="str">
        <f>'10.Grain Production details'!A72</f>
        <v>Udid</v>
      </c>
      <c r="B18" s="94">
        <f>'10.Grain Production details'!B72</f>
        <v>39.6</v>
      </c>
      <c r="C18" s="94">
        <f>'10.Grain Production details'!C72</f>
        <v>59.400000000000006</v>
      </c>
      <c r="D18" s="94">
        <f>'10.Grain Production details'!D72</f>
        <v>79.2</v>
      </c>
      <c r="E18" s="94">
        <f>'10.Grain Production details'!E72</f>
        <v>99</v>
      </c>
      <c r="F18" s="94">
        <f>'10.Grain Production details'!F72</f>
        <v>118.8</v>
      </c>
      <c r="G18" s="94">
        <f>'10.Grain Production details'!G72</f>
        <v>138.6</v>
      </c>
      <c r="H18" s="94">
        <f>'10.Grain Production details'!H72</f>
        <v>158.39999999999998</v>
      </c>
    </row>
    <row r="19" spans="1:8">
      <c r="A19" s="94" t="str">
        <f>'10.Grain Production details'!A73</f>
        <v>Bajra</v>
      </c>
      <c r="B19" s="94">
        <f>'10.Grain Production details'!B73</f>
        <v>0</v>
      </c>
      <c r="C19" s="94">
        <f>'10.Grain Production details'!C73</f>
        <v>0</v>
      </c>
      <c r="D19" s="94">
        <f>'10.Grain Production details'!D73</f>
        <v>0</v>
      </c>
      <c r="E19" s="94">
        <f>'10.Grain Production details'!E73</f>
        <v>0</v>
      </c>
      <c r="F19" s="94">
        <f>'10.Grain Production details'!F73</f>
        <v>0</v>
      </c>
      <c r="G19" s="94">
        <f>'10.Grain Production details'!G73</f>
        <v>0</v>
      </c>
      <c r="H19" s="94">
        <f>'10.Grain Production details'!H73</f>
        <v>0</v>
      </c>
    </row>
    <row r="20" spans="1:8">
      <c r="A20" s="94" t="str">
        <f>'10.Grain Production details'!A74</f>
        <v>Jawar</v>
      </c>
      <c r="B20" s="94">
        <f>'10.Grain Production details'!B74</f>
        <v>48.5</v>
      </c>
      <c r="C20" s="94">
        <f>'10.Grain Production details'!C74</f>
        <v>72.750000000000014</v>
      </c>
      <c r="D20" s="94">
        <f>'10.Grain Production details'!D74</f>
        <v>97</v>
      </c>
      <c r="E20" s="94">
        <f>'10.Grain Production details'!E74</f>
        <v>121.25</v>
      </c>
      <c r="F20" s="94">
        <f>'10.Grain Production details'!F74</f>
        <v>145.5</v>
      </c>
      <c r="G20" s="94">
        <f>'10.Grain Production details'!G74</f>
        <v>169.75</v>
      </c>
      <c r="H20" s="94">
        <f>'10.Grain Production details'!H74</f>
        <v>194</v>
      </c>
    </row>
    <row r="21" spans="1:8">
      <c r="A21" s="94" t="str">
        <f>'10.Grain Production details'!A75</f>
        <v>Channa</v>
      </c>
      <c r="B21" s="94">
        <f>'10.Grain Production details'!B75</f>
        <v>0</v>
      </c>
      <c r="C21" s="94">
        <f>'10.Grain Production details'!C75</f>
        <v>0</v>
      </c>
      <c r="D21" s="94">
        <f>'10.Grain Production details'!D75</f>
        <v>0</v>
      </c>
      <c r="E21" s="94">
        <f>'10.Grain Production details'!E75</f>
        <v>0</v>
      </c>
      <c r="F21" s="94">
        <f>'10.Grain Production details'!F75</f>
        <v>0</v>
      </c>
      <c r="G21" s="94">
        <f>'10.Grain Production details'!G75</f>
        <v>0</v>
      </c>
      <c r="H21" s="94">
        <f>'10.Grain Production details'!H75</f>
        <v>0</v>
      </c>
    </row>
    <row r="22" spans="1:8">
      <c r="A22" s="94" t="str">
        <f>'10.Grain Production details'!A76</f>
        <v>Wheat</v>
      </c>
      <c r="B22" s="94">
        <f>'10.Grain Production details'!B76</f>
        <v>128.25</v>
      </c>
      <c r="C22" s="94">
        <f>'10.Grain Production details'!C76</f>
        <v>192.37500000000003</v>
      </c>
      <c r="D22" s="94">
        <f>'10.Grain Production details'!D76</f>
        <v>256.5</v>
      </c>
      <c r="E22" s="94">
        <f>'10.Grain Production details'!E76</f>
        <v>320.625</v>
      </c>
      <c r="F22" s="94">
        <f>'10.Grain Production details'!F76</f>
        <v>384.75</v>
      </c>
      <c r="G22" s="94">
        <f>'10.Grain Production details'!G76</f>
        <v>448.87499999999994</v>
      </c>
      <c r="H22" s="94">
        <f>'10.Grain Production details'!H76</f>
        <v>513</v>
      </c>
    </row>
    <row r="23" spans="1:8">
      <c r="A23" s="94" t="str">
        <f>'10.Grain Production details'!A77</f>
        <v>Channa</v>
      </c>
      <c r="B23" s="94">
        <f>'10.Grain Production details'!B77</f>
        <v>399</v>
      </c>
      <c r="C23" s="94">
        <f>'10.Grain Production details'!C77</f>
        <v>598.50000000000011</v>
      </c>
      <c r="D23" s="94">
        <f>'10.Grain Production details'!D77</f>
        <v>798</v>
      </c>
      <c r="E23" s="94">
        <f>'10.Grain Production details'!E77</f>
        <v>997.5</v>
      </c>
      <c r="F23" s="94">
        <f>'10.Grain Production details'!F77</f>
        <v>1197</v>
      </c>
      <c r="G23" s="94">
        <f>'10.Grain Production details'!G77</f>
        <v>1396.5</v>
      </c>
      <c r="H23" s="94">
        <f>'10.Grain Production details'!H77</f>
        <v>1596</v>
      </c>
    </row>
    <row r="24" spans="1:8">
      <c r="A24" s="94" t="str">
        <f>'10.Grain Production details'!A78</f>
        <v>Jawar</v>
      </c>
      <c r="B24" s="94">
        <f>'10.Grain Production details'!B78</f>
        <v>46.56</v>
      </c>
      <c r="C24" s="94">
        <f>'10.Grain Production details'!C78</f>
        <v>69.840000000000018</v>
      </c>
      <c r="D24" s="94">
        <f>'10.Grain Production details'!D78</f>
        <v>93.12</v>
      </c>
      <c r="E24" s="94">
        <f>'10.Grain Production details'!E78</f>
        <v>116.4</v>
      </c>
      <c r="F24" s="94">
        <f>'10.Grain Production details'!F78</f>
        <v>139.68</v>
      </c>
      <c r="G24" s="94">
        <f>'10.Grain Production details'!G78</f>
        <v>162.96</v>
      </c>
      <c r="H24" s="94">
        <f>'10.Grain Production details'!H78</f>
        <v>186.24</v>
      </c>
    </row>
    <row r="25" spans="1:8">
      <c r="A25" s="94" t="str">
        <f>'10.Grain Production details'!A79</f>
        <v>Maize</v>
      </c>
      <c r="B25" s="94">
        <f>'10.Grain Production details'!B79</f>
        <v>0</v>
      </c>
      <c r="C25" s="94">
        <f>'10.Grain Production details'!C79</f>
        <v>0</v>
      </c>
      <c r="D25" s="94">
        <f>'10.Grain Production details'!D79</f>
        <v>0</v>
      </c>
      <c r="E25" s="94">
        <f>'10.Grain Production details'!E79</f>
        <v>0</v>
      </c>
      <c r="F25" s="94">
        <f>'10.Grain Production details'!F79</f>
        <v>0</v>
      </c>
      <c r="G25" s="94">
        <f>'10.Grain Production details'!G79</f>
        <v>0</v>
      </c>
      <c r="H25" s="94">
        <f>'10.Grain Production details'!H79</f>
        <v>0</v>
      </c>
    </row>
    <row r="26" spans="1:8">
      <c r="A26" s="94" t="str">
        <f>'10.Grain Production details'!A80</f>
        <v>Safflower</v>
      </c>
      <c r="B26" s="94">
        <f>'10.Grain Production details'!B80</f>
        <v>0</v>
      </c>
      <c r="C26" s="94">
        <f>'10.Grain Production details'!C80</f>
        <v>0</v>
      </c>
      <c r="D26" s="94">
        <f>'10.Grain Production details'!D80</f>
        <v>0</v>
      </c>
      <c r="E26" s="94">
        <f>'10.Grain Production details'!E80</f>
        <v>0</v>
      </c>
      <c r="F26" s="94">
        <f>'10.Grain Production details'!F80</f>
        <v>0</v>
      </c>
      <c r="G26" s="94">
        <f>'10.Grain Production details'!G80</f>
        <v>0</v>
      </c>
      <c r="H26" s="94">
        <f>'10.Grain Production details'!H80</f>
        <v>0</v>
      </c>
    </row>
    <row r="27" spans="1:8">
      <c r="A27" s="94" t="str">
        <f>'10.Grain Production details'!A81</f>
        <v>Groundnut</v>
      </c>
      <c r="B27" s="94">
        <f>'10.Grain Production details'!B81</f>
        <v>14.850000000000001</v>
      </c>
      <c r="C27" s="94">
        <f>'10.Grain Production details'!C81</f>
        <v>22.275000000000002</v>
      </c>
      <c r="D27" s="94">
        <f>'10.Grain Production details'!D81</f>
        <v>29.700000000000003</v>
      </c>
      <c r="E27" s="94">
        <f>'10.Grain Production details'!E81</f>
        <v>37.125</v>
      </c>
      <c r="F27" s="94">
        <f>'10.Grain Production details'!F81</f>
        <v>44.55</v>
      </c>
      <c r="G27" s="94">
        <f>'10.Grain Production details'!G81</f>
        <v>51.974999999999994</v>
      </c>
      <c r="H27" s="94">
        <f>'10.Grain Production details'!H81</f>
        <v>59.4</v>
      </c>
    </row>
    <row r="28" spans="1:8">
      <c r="A28" s="94">
        <f>'10.Grain Production details'!A82</f>
        <v>0</v>
      </c>
      <c r="B28" s="94">
        <f>'10.Grain Production details'!B82</f>
        <v>0</v>
      </c>
      <c r="C28" s="94">
        <f>'10.Grain Production details'!C82</f>
        <v>0</v>
      </c>
      <c r="D28" s="94">
        <f>'10.Grain Production details'!D82</f>
        <v>0</v>
      </c>
      <c r="E28" s="94">
        <f>'10.Grain Production details'!E82</f>
        <v>0</v>
      </c>
      <c r="F28" s="94">
        <f>'10.Grain Production details'!F82</f>
        <v>0</v>
      </c>
      <c r="G28" s="94">
        <f>'10.Grain Production details'!G82</f>
        <v>0</v>
      </c>
      <c r="H28" s="94">
        <f>'10.Grain Production details'!H82</f>
        <v>0</v>
      </c>
    </row>
    <row r="29" spans="1:8">
      <c r="A29" s="94">
        <f>'10.Grain Production details'!A83</f>
        <v>0</v>
      </c>
      <c r="B29" s="94">
        <f>'10.Grain Production details'!B83</f>
        <v>0</v>
      </c>
      <c r="C29" s="94">
        <f>'10.Grain Production details'!C83</f>
        <v>0</v>
      </c>
      <c r="D29" s="94">
        <f>'10.Grain Production details'!D83</f>
        <v>0</v>
      </c>
      <c r="E29" s="94">
        <f>'10.Grain Production details'!E83</f>
        <v>0</v>
      </c>
      <c r="F29" s="94">
        <f>'10.Grain Production details'!F83</f>
        <v>0</v>
      </c>
      <c r="G29" s="94">
        <f>'10.Grain Production details'!G83</f>
        <v>0</v>
      </c>
      <c r="H29" s="94">
        <f>'10.Grain Production details'!H83</f>
        <v>0</v>
      </c>
    </row>
    <row r="30" spans="1:8">
      <c r="A30" s="94" t="str">
        <f>'10.Grain Production details'!A84</f>
        <v>Soybean</v>
      </c>
      <c r="B30" s="94">
        <f>'10.Grain Production details'!B84</f>
        <v>1.9800000000000002</v>
      </c>
      <c r="C30" s="94">
        <f>'10.Grain Production details'!C84</f>
        <v>2.9700000000000006</v>
      </c>
      <c r="D30" s="94">
        <f>'10.Grain Production details'!D84</f>
        <v>3.9600000000000004</v>
      </c>
      <c r="E30" s="94">
        <f>'10.Grain Production details'!E84</f>
        <v>4.95</v>
      </c>
      <c r="F30" s="94">
        <f>'10.Grain Production details'!F84</f>
        <v>5.94</v>
      </c>
      <c r="G30" s="94">
        <f>'10.Grain Production details'!G84</f>
        <v>6.93</v>
      </c>
      <c r="H30" s="94">
        <f>'10.Grain Production details'!H84</f>
        <v>7.92</v>
      </c>
    </row>
    <row r="31" spans="1:8">
      <c r="A31" s="94" t="str">
        <f>'10.Grain Production details'!A85</f>
        <v>Paddy</v>
      </c>
      <c r="B31" s="94">
        <f>'10.Grain Production details'!B85</f>
        <v>1.4850000000000001</v>
      </c>
      <c r="C31" s="94">
        <f>'10.Grain Production details'!C85</f>
        <v>2.2275000000000005</v>
      </c>
      <c r="D31" s="94">
        <f>'10.Grain Production details'!D85</f>
        <v>2.9700000000000006</v>
      </c>
      <c r="E31" s="94">
        <f>'10.Grain Production details'!E85</f>
        <v>3.7125000000000008</v>
      </c>
      <c r="F31" s="94">
        <f>'10.Grain Production details'!F85</f>
        <v>4.455000000000001</v>
      </c>
      <c r="G31" s="94">
        <f>'10.Grain Production details'!G85</f>
        <v>5.1975000000000007</v>
      </c>
      <c r="H31" s="94">
        <f>'10.Grain Production details'!H85</f>
        <v>5.94</v>
      </c>
    </row>
    <row r="32" spans="1:8">
      <c r="A32" s="94" t="s">
        <v>465</v>
      </c>
      <c r="B32" s="94">
        <f>SUM(B13:B31)</f>
        <v>1282.1249999999998</v>
      </c>
      <c r="C32" s="94">
        <f t="shared" ref="C32:H32" si="1">SUM(C13:C31)</f>
        <v>1923.1875000000005</v>
      </c>
      <c r="D32" s="94">
        <f t="shared" si="1"/>
        <v>2564.2499999999995</v>
      </c>
      <c r="E32" s="94">
        <f t="shared" si="1"/>
        <v>3205.3125</v>
      </c>
      <c r="F32" s="94">
        <f t="shared" si="1"/>
        <v>3846.375</v>
      </c>
      <c r="G32" s="94">
        <f t="shared" si="1"/>
        <v>4487.4375000000009</v>
      </c>
      <c r="H32" s="94">
        <f t="shared" si="1"/>
        <v>5128.4999999999991</v>
      </c>
    </row>
    <row r="33" spans="1:8">
      <c r="A33" s="311" t="s">
        <v>163</v>
      </c>
      <c r="B33" s="266">
        <v>0.1</v>
      </c>
      <c r="C33" s="266">
        <f>B33</f>
        <v>0.1</v>
      </c>
      <c r="D33" s="266">
        <f t="shared" ref="D33:H33" si="2">C33</f>
        <v>0.1</v>
      </c>
      <c r="E33" s="266">
        <f t="shared" si="2"/>
        <v>0.1</v>
      </c>
      <c r="F33" s="266">
        <f t="shared" si="2"/>
        <v>0.1</v>
      </c>
      <c r="G33" s="266">
        <f t="shared" si="2"/>
        <v>0.1</v>
      </c>
      <c r="H33" s="266">
        <f t="shared" si="2"/>
        <v>0.1</v>
      </c>
    </row>
    <row r="34" spans="1:8">
      <c r="A34" s="98" t="s">
        <v>475</v>
      </c>
      <c r="B34" s="312">
        <f>1-B33</f>
        <v>0.9</v>
      </c>
      <c r="C34" s="312">
        <f t="shared" ref="C34:H34" si="3">1-C33</f>
        <v>0.9</v>
      </c>
      <c r="D34" s="312">
        <f t="shared" si="3"/>
        <v>0.9</v>
      </c>
      <c r="E34" s="312">
        <f t="shared" si="3"/>
        <v>0.9</v>
      </c>
      <c r="F34" s="312">
        <f t="shared" si="3"/>
        <v>0.9</v>
      </c>
      <c r="G34" s="312">
        <f t="shared" si="3"/>
        <v>0.9</v>
      </c>
      <c r="H34" s="312">
        <f t="shared" si="3"/>
        <v>0.9</v>
      </c>
    </row>
    <row r="35" spans="1:8">
      <c r="A35" s="96" t="s">
        <v>163</v>
      </c>
      <c r="B35" s="250">
        <f>B32*B33</f>
        <v>128.21249999999998</v>
      </c>
      <c r="C35" s="250">
        <f t="shared" ref="C35:H35" si="4">C32*C33</f>
        <v>192.31875000000005</v>
      </c>
      <c r="D35" s="250">
        <f t="shared" si="4"/>
        <v>256.42499999999995</v>
      </c>
      <c r="E35" s="250">
        <f t="shared" si="4"/>
        <v>320.53125</v>
      </c>
      <c r="F35" s="250">
        <f t="shared" si="4"/>
        <v>384.63750000000005</v>
      </c>
      <c r="G35" s="250">
        <f t="shared" si="4"/>
        <v>448.74375000000009</v>
      </c>
      <c r="H35" s="250">
        <f t="shared" si="4"/>
        <v>512.84999999999991</v>
      </c>
    </row>
    <row r="36" spans="1:8">
      <c r="A36" s="96" t="s">
        <v>164</v>
      </c>
      <c r="B36" s="114"/>
      <c r="C36" s="114"/>
      <c r="D36" s="114"/>
      <c r="E36" s="114"/>
      <c r="F36" s="114"/>
      <c r="G36" s="114"/>
      <c r="H36" s="114"/>
    </row>
    <row r="37" spans="1:8">
      <c r="A37" s="94" t="str">
        <f t="shared" ref="A37:A55" si="5">A13</f>
        <v>Soybean</v>
      </c>
      <c r="B37" s="95">
        <f t="shared" ref="B37:B55" si="6">B13*$B$34</f>
        <v>0</v>
      </c>
      <c r="C37" s="95">
        <f t="shared" ref="C37:H37" si="7">C13*$B$34</f>
        <v>0</v>
      </c>
      <c r="D37" s="95">
        <f t="shared" si="7"/>
        <v>0</v>
      </c>
      <c r="E37" s="95">
        <f t="shared" si="7"/>
        <v>0</v>
      </c>
      <c r="F37" s="95">
        <f t="shared" si="7"/>
        <v>0</v>
      </c>
      <c r="G37" s="95">
        <f t="shared" si="7"/>
        <v>0</v>
      </c>
      <c r="H37" s="95">
        <f t="shared" si="7"/>
        <v>0</v>
      </c>
    </row>
    <row r="38" spans="1:8">
      <c r="A38" s="94" t="str">
        <f t="shared" si="5"/>
        <v>Tur</v>
      </c>
      <c r="B38" s="95">
        <f t="shared" si="6"/>
        <v>42.75</v>
      </c>
      <c r="C38" s="95">
        <f t="shared" ref="C38:C55" si="8">C14*$C$34</f>
        <v>64.125000000000014</v>
      </c>
      <c r="D38" s="95">
        <f t="shared" ref="D38:D55" si="9">D14*$D$34</f>
        <v>85.5</v>
      </c>
      <c r="E38" s="95">
        <f t="shared" ref="E38:E55" si="10">E14*$E$34</f>
        <v>106.875</v>
      </c>
      <c r="F38" s="95">
        <f t="shared" ref="F38:F55" si="11">F14*$F$34</f>
        <v>128.25</v>
      </c>
      <c r="G38" s="95">
        <f t="shared" ref="G38:G55" si="12">G14*$G$34</f>
        <v>149.625</v>
      </c>
      <c r="H38" s="95">
        <f t="shared" ref="H38:H55" si="13">H14*$H$34</f>
        <v>171</v>
      </c>
    </row>
    <row r="39" spans="1:8">
      <c r="A39" s="94" t="str">
        <f t="shared" si="5"/>
        <v>Turmeric</v>
      </c>
      <c r="B39" s="95">
        <f t="shared" si="6"/>
        <v>467.77500000000003</v>
      </c>
      <c r="C39" s="95">
        <f t="shared" si="8"/>
        <v>701.66250000000014</v>
      </c>
      <c r="D39" s="95">
        <f t="shared" si="9"/>
        <v>935.55000000000007</v>
      </c>
      <c r="E39" s="95">
        <f t="shared" si="10"/>
        <v>1169.4375</v>
      </c>
      <c r="F39" s="95">
        <f t="shared" si="11"/>
        <v>1403.325</v>
      </c>
      <c r="G39" s="95">
        <f t="shared" si="12"/>
        <v>1637.2124999999999</v>
      </c>
      <c r="H39" s="95">
        <f t="shared" si="13"/>
        <v>1871.1000000000001</v>
      </c>
    </row>
    <row r="40" spans="1:8">
      <c r="A40" s="94" t="str">
        <f t="shared" si="5"/>
        <v>Moong</v>
      </c>
      <c r="B40" s="95">
        <f t="shared" si="6"/>
        <v>31.184999999999999</v>
      </c>
      <c r="C40" s="95">
        <f t="shared" si="8"/>
        <v>46.777500000000003</v>
      </c>
      <c r="D40" s="95">
        <f t="shared" si="9"/>
        <v>62.37</v>
      </c>
      <c r="E40" s="95">
        <f t="shared" si="10"/>
        <v>77.962499999999991</v>
      </c>
      <c r="F40" s="95">
        <f t="shared" si="11"/>
        <v>93.554999999999978</v>
      </c>
      <c r="G40" s="95">
        <f t="shared" si="12"/>
        <v>109.14749999999998</v>
      </c>
      <c r="H40" s="95">
        <f t="shared" si="13"/>
        <v>124.73999999999997</v>
      </c>
    </row>
    <row r="41" spans="1:8">
      <c r="A41" s="94" t="str">
        <f t="shared" si="5"/>
        <v>Maize</v>
      </c>
      <c r="B41" s="95">
        <f t="shared" si="6"/>
        <v>0</v>
      </c>
      <c r="C41" s="95">
        <f t="shared" si="8"/>
        <v>0</v>
      </c>
      <c r="D41" s="95">
        <f t="shared" si="9"/>
        <v>0</v>
      </c>
      <c r="E41" s="95">
        <f t="shared" si="10"/>
        <v>0</v>
      </c>
      <c r="F41" s="95">
        <f t="shared" si="11"/>
        <v>0</v>
      </c>
      <c r="G41" s="95">
        <f t="shared" si="12"/>
        <v>0</v>
      </c>
      <c r="H41" s="95">
        <f t="shared" si="13"/>
        <v>0</v>
      </c>
    </row>
    <row r="42" spans="1:8">
      <c r="A42" s="94" t="str">
        <f t="shared" si="5"/>
        <v>Udid</v>
      </c>
      <c r="B42" s="95">
        <f t="shared" si="6"/>
        <v>35.64</v>
      </c>
      <c r="C42" s="95">
        <f t="shared" si="8"/>
        <v>53.460000000000008</v>
      </c>
      <c r="D42" s="95">
        <f t="shared" si="9"/>
        <v>71.28</v>
      </c>
      <c r="E42" s="95">
        <f t="shared" si="10"/>
        <v>89.100000000000009</v>
      </c>
      <c r="F42" s="95">
        <f t="shared" si="11"/>
        <v>106.92</v>
      </c>
      <c r="G42" s="95">
        <f t="shared" si="12"/>
        <v>124.74</v>
      </c>
      <c r="H42" s="95">
        <f t="shared" si="13"/>
        <v>142.55999999999997</v>
      </c>
    </row>
    <row r="43" spans="1:8">
      <c r="A43" s="94" t="str">
        <f t="shared" si="5"/>
        <v>Bajra</v>
      </c>
      <c r="B43" s="95">
        <f t="shared" si="6"/>
        <v>0</v>
      </c>
      <c r="C43" s="95">
        <f t="shared" si="8"/>
        <v>0</v>
      </c>
      <c r="D43" s="95">
        <f t="shared" si="9"/>
        <v>0</v>
      </c>
      <c r="E43" s="95">
        <f t="shared" si="10"/>
        <v>0</v>
      </c>
      <c r="F43" s="95">
        <f t="shared" si="11"/>
        <v>0</v>
      </c>
      <c r="G43" s="95">
        <f t="shared" si="12"/>
        <v>0</v>
      </c>
      <c r="H43" s="95">
        <f t="shared" si="13"/>
        <v>0</v>
      </c>
    </row>
    <row r="44" spans="1:8">
      <c r="A44" s="94" t="str">
        <f t="shared" si="5"/>
        <v>Jawar</v>
      </c>
      <c r="B44" s="95">
        <f t="shared" si="6"/>
        <v>43.65</v>
      </c>
      <c r="C44" s="95">
        <f t="shared" si="8"/>
        <v>65.475000000000009</v>
      </c>
      <c r="D44" s="95">
        <f t="shared" si="9"/>
        <v>87.3</v>
      </c>
      <c r="E44" s="95">
        <f t="shared" si="10"/>
        <v>109.125</v>
      </c>
      <c r="F44" s="95">
        <f t="shared" si="11"/>
        <v>130.95000000000002</v>
      </c>
      <c r="G44" s="95">
        <f t="shared" si="12"/>
        <v>152.77500000000001</v>
      </c>
      <c r="H44" s="95">
        <f t="shared" si="13"/>
        <v>174.6</v>
      </c>
    </row>
    <row r="45" spans="1:8">
      <c r="A45" s="94" t="str">
        <f t="shared" si="5"/>
        <v>Channa</v>
      </c>
      <c r="B45" s="95">
        <f t="shared" si="6"/>
        <v>0</v>
      </c>
      <c r="C45" s="95">
        <f t="shared" si="8"/>
        <v>0</v>
      </c>
      <c r="D45" s="95">
        <f t="shared" si="9"/>
        <v>0</v>
      </c>
      <c r="E45" s="95">
        <f t="shared" si="10"/>
        <v>0</v>
      </c>
      <c r="F45" s="95">
        <f t="shared" si="11"/>
        <v>0</v>
      </c>
      <c r="G45" s="95">
        <f t="shared" si="12"/>
        <v>0</v>
      </c>
      <c r="H45" s="95">
        <f t="shared" si="13"/>
        <v>0</v>
      </c>
    </row>
    <row r="46" spans="1:8">
      <c r="A46" s="94" t="str">
        <f t="shared" si="5"/>
        <v>Wheat</v>
      </c>
      <c r="B46" s="95">
        <f t="shared" si="6"/>
        <v>115.425</v>
      </c>
      <c r="C46" s="95">
        <f t="shared" si="8"/>
        <v>173.13750000000002</v>
      </c>
      <c r="D46" s="95">
        <f t="shared" si="9"/>
        <v>230.85</v>
      </c>
      <c r="E46" s="95">
        <f t="shared" si="10"/>
        <v>288.5625</v>
      </c>
      <c r="F46" s="95">
        <f t="shared" si="11"/>
        <v>346.27500000000003</v>
      </c>
      <c r="G46" s="95">
        <f t="shared" si="12"/>
        <v>403.98749999999995</v>
      </c>
      <c r="H46" s="95">
        <f t="shared" si="13"/>
        <v>461.7</v>
      </c>
    </row>
    <row r="47" spans="1:8">
      <c r="A47" s="94" t="str">
        <f t="shared" si="5"/>
        <v>Channa</v>
      </c>
      <c r="B47" s="95">
        <f t="shared" si="6"/>
        <v>359.1</v>
      </c>
      <c r="C47" s="95">
        <f t="shared" si="8"/>
        <v>538.65000000000009</v>
      </c>
      <c r="D47" s="95">
        <f t="shared" si="9"/>
        <v>718.2</v>
      </c>
      <c r="E47" s="95">
        <f t="shared" si="10"/>
        <v>897.75</v>
      </c>
      <c r="F47" s="95">
        <f t="shared" si="11"/>
        <v>1077.3</v>
      </c>
      <c r="G47" s="95">
        <f t="shared" si="12"/>
        <v>1256.8500000000001</v>
      </c>
      <c r="H47" s="95">
        <f t="shared" si="13"/>
        <v>1436.4</v>
      </c>
    </row>
    <row r="48" spans="1:8">
      <c r="A48" s="94" t="str">
        <f t="shared" si="5"/>
        <v>Jawar</v>
      </c>
      <c r="B48" s="95">
        <f t="shared" si="6"/>
        <v>41.904000000000003</v>
      </c>
      <c r="C48" s="95">
        <f t="shared" si="8"/>
        <v>62.856000000000016</v>
      </c>
      <c r="D48" s="95">
        <f t="shared" si="9"/>
        <v>83.808000000000007</v>
      </c>
      <c r="E48" s="95">
        <f t="shared" si="10"/>
        <v>104.76</v>
      </c>
      <c r="F48" s="95">
        <f t="shared" si="11"/>
        <v>125.712</v>
      </c>
      <c r="G48" s="95">
        <f t="shared" si="12"/>
        <v>146.66400000000002</v>
      </c>
      <c r="H48" s="95">
        <f t="shared" si="13"/>
        <v>167.61600000000001</v>
      </c>
    </row>
    <row r="49" spans="1:8">
      <c r="A49" s="94" t="str">
        <f t="shared" si="5"/>
        <v>Maize</v>
      </c>
      <c r="B49" s="95">
        <f t="shared" si="6"/>
        <v>0</v>
      </c>
      <c r="C49" s="95">
        <f t="shared" si="8"/>
        <v>0</v>
      </c>
      <c r="D49" s="95">
        <f t="shared" si="9"/>
        <v>0</v>
      </c>
      <c r="E49" s="95">
        <f t="shared" si="10"/>
        <v>0</v>
      </c>
      <c r="F49" s="95">
        <f t="shared" si="11"/>
        <v>0</v>
      </c>
      <c r="G49" s="95">
        <f t="shared" si="12"/>
        <v>0</v>
      </c>
      <c r="H49" s="95">
        <f t="shared" si="13"/>
        <v>0</v>
      </c>
    </row>
    <row r="50" spans="1:8">
      <c r="A50" s="94" t="str">
        <f t="shared" si="5"/>
        <v>Safflower</v>
      </c>
      <c r="B50" s="95">
        <f t="shared" si="6"/>
        <v>0</v>
      </c>
      <c r="C50" s="95">
        <f t="shared" si="8"/>
        <v>0</v>
      </c>
      <c r="D50" s="95">
        <f t="shared" si="9"/>
        <v>0</v>
      </c>
      <c r="E50" s="95">
        <f t="shared" si="10"/>
        <v>0</v>
      </c>
      <c r="F50" s="95">
        <f t="shared" si="11"/>
        <v>0</v>
      </c>
      <c r="G50" s="95">
        <f t="shared" si="12"/>
        <v>0</v>
      </c>
      <c r="H50" s="95">
        <f t="shared" si="13"/>
        <v>0</v>
      </c>
    </row>
    <row r="51" spans="1:8">
      <c r="A51" s="94" t="str">
        <f t="shared" si="5"/>
        <v>Groundnut</v>
      </c>
      <c r="B51" s="95">
        <f t="shared" si="6"/>
        <v>13.365000000000002</v>
      </c>
      <c r="C51" s="95">
        <f t="shared" si="8"/>
        <v>20.047500000000003</v>
      </c>
      <c r="D51" s="95">
        <f t="shared" si="9"/>
        <v>26.730000000000004</v>
      </c>
      <c r="E51" s="95">
        <f t="shared" si="10"/>
        <v>33.412500000000001</v>
      </c>
      <c r="F51" s="95">
        <f t="shared" si="11"/>
        <v>40.094999999999999</v>
      </c>
      <c r="G51" s="95">
        <f t="shared" si="12"/>
        <v>46.777499999999996</v>
      </c>
      <c r="H51" s="95">
        <f t="shared" si="13"/>
        <v>53.46</v>
      </c>
    </row>
    <row r="52" spans="1:8">
      <c r="A52" s="94">
        <f t="shared" si="5"/>
        <v>0</v>
      </c>
      <c r="B52" s="95">
        <f t="shared" si="6"/>
        <v>0</v>
      </c>
      <c r="C52" s="95">
        <f t="shared" si="8"/>
        <v>0</v>
      </c>
      <c r="D52" s="95">
        <f t="shared" si="9"/>
        <v>0</v>
      </c>
      <c r="E52" s="95">
        <f t="shared" si="10"/>
        <v>0</v>
      </c>
      <c r="F52" s="95">
        <f t="shared" si="11"/>
        <v>0</v>
      </c>
      <c r="G52" s="95">
        <f t="shared" si="12"/>
        <v>0</v>
      </c>
      <c r="H52" s="95">
        <f t="shared" si="13"/>
        <v>0</v>
      </c>
    </row>
    <row r="53" spans="1:8">
      <c r="A53" s="94">
        <f t="shared" si="5"/>
        <v>0</v>
      </c>
      <c r="B53" s="95">
        <f t="shared" si="6"/>
        <v>0</v>
      </c>
      <c r="C53" s="95">
        <f t="shared" si="8"/>
        <v>0</v>
      </c>
      <c r="D53" s="95">
        <f t="shared" si="9"/>
        <v>0</v>
      </c>
      <c r="E53" s="95">
        <f t="shared" si="10"/>
        <v>0</v>
      </c>
      <c r="F53" s="95">
        <f t="shared" si="11"/>
        <v>0</v>
      </c>
      <c r="G53" s="95">
        <f t="shared" si="12"/>
        <v>0</v>
      </c>
      <c r="H53" s="95">
        <f t="shared" si="13"/>
        <v>0</v>
      </c>
    </row>
    <row r="54" spans="1:8">
      <c r="A54" s="94" t="str">
        <f t="shared" si="5"/>
        <v>Soybean</v>
      </c>
      <c r="B54" s="95">
        <f t="shared" si="6"/>
        <v>1.7820000000000003</v>
      </c>
      <c r="C54" s="95">
        <f t="shared" si="8"/>
        <v>2.6730000000000005</v>
      </c>
      <c r="D54" s="95">
        <f t="shared" si="9"/>
        <v>3.5640000000000005</v>
      </c>
      <c r="E54" s="95">
        <f t="shared" si="10"/>
        <v>4.4550000000000001</v>
      </c>
      <c r="F54" s="95">
        <f t="shared" si="11"/>
        <v>5.3460000000000001</v>
      </c>
      <c r="G54" s="95">
        <f t="shared" si="12"/>
        <v>6.2370000000000001</v>
      </c>
      <c r="H54" s="95">
        <f t="shared" si="13"/>
        <v>7.1280000000000001</v>
      </c>
    </row>
    <row r="55" spans="1:8">
      <c r="A55" s="94" t="str">
        <f t="shared" si="5"/>
        <v>Paddy</v>
      </c>
      <c r="B55" s="95">
        <f t="shared" si="6"/>
        <v>1.3365</v>
      </c>
      <c r="C55" s="95">
        <f t="shared" si="8"/>
        <v>2.0047500000000005</v>
      </c>
      <c r="D55" s="95">
        <f t="shared" si="9"/>
        <v>2.6730000000000005</v>
      </c>
      <c r="E55" s="95">
        <f t="shared" si="10"/>
        <v>3.3412500000000009</v>
      </c>
      <c r="F55" s="95">
        <f t="shared" si="11"/>
        <v>4.009500000000001</v>
      </c>
      <c r="G55" s="95">
        <f t="shared" si="12"/>
        <v>4.6777500000000005</v>
      </c>
      <c r="H55" s="95">
        <f t="shared" si="13"/>
        <v>5.3460000000000001</v>
      </c>
    </row>
    <row r="56" spans="1:8">
      <c r="A56" s="94"/>
      <c r="B56" s="94"/>
      <c r="C56" s="94"/>
      <c r="D56" s="94"/>
      <c r="E56" s="94"/>
      <c r="F56" s="94"/>
      <c r="G56" s="94"/>
      <c r="H56" s="94"/>
    </row>
    <row r="57" spans="1:8">
      <c r="A57" s="96" t="s">
        <v>285</v>
      </c>
      <c r="B57" s="94"/>
      <c r="C57" s="94"/>
      <c r="D57" s="94"/>
      <c r="E57" s="94"/>
      <c r="F57" s="94"/>
      <c r="G57" s="94"/>
      <c r="H57" s="94"/>
    </row>
    <row r="58" spans="1:8">
      <c r="A58" s="94" t="str">
        <f>A37</f>
        <v>Soybean</v>
      </c>
      <c r="B58" s="94"/>
      <c r="C58" s="94"/>
      <c r="D58" s="94"/>
      <c r="E58" s="94"/>
      <c r="F58" s="94"/>
      <c r="G58" s="94"/>
      <c r="H58" s="94"/>
    </row>
    <row r="59" spans="1:8">
      <c r="A59" s="94"/>
      <c r="B59" s="94"/>
      <c r="C59" s="94"/>
      <c r="D59" s="94"/>
      <c r="E59" s="94"/>
      <c r="F59" s="94"/>
      <c r="G59" s="94"/>
      <c r="H59" s="94"/>
    </row>
    <row r="60" spans="1:8">
      <c r="A60" s="94"/>
      <c r="B60" s="94"/>
      <c r="C60" s="94"/>
      <c r="D60" s="94"/>
      <c r="E60" s="94"/>
      <c r="F60" s="94"/>
      <c r="G60" s="94"/>
      <c r="H60" s="94"/>
    </row>
    <row r="61" spans="1:8">
      <c r="A61" s="94"/>
      <c r="B61" s="94"/>
      <c r="C61" s="94"/>
      <c r="D61" s="94"/>
      <c r="E61" s="94"/>
      <c r="F61" s="94"/>
      <c r="G61" s="94"/>
      <c r="H61" s="94"/>
    </row>
    <row r="62" spans="1:8">
      <c r="A62" s="94" t="str">
        <f>A38</f>
        <v>Tur</v>
      </c>
      <c r="B62" s="190"/>
      <c r="C62" s="190"/>
      <c r="D62" s="190"/>
      <c r="E62" s="190"/>
      <c r="F62" s="190"/>
      <c r="G62" s="190"/>
      <c r="H62" s="190"/>
    </row>
    <row r="63" spans="1:8">
      <c r="A63" s="94" t="s">
        <v>466</v>
      </c>
      <c r="B63" s="190">
        <f>B38*80%</f>
        <v>34.200000000000003</v>
      </c>
      <c r="C63" s="190">
        <f t="shared" ref="C63:H63" si="14">C38*80%</f>
        <v>51.300000000000011</v>
      </c>
      <c r="D63" s="190">
        <f t="shared" si="14"/>
        <v>68.400000000000006</v>
      </c>
      <c r="E63" s="190">
        <f t="shared" si="14"/>
        <v>85.5</v>
      </c>
      <c r="F63" s="190">
        <f t="shared" si="14"/>
        <v>102.60000000000001</v>
      </c>
      <c r="G63" s="190">
        <f t="shared" si="14"/>
        <v>119.7</v>
      </c>
      <c r="H63" s="190">
        <f t="shared" si="14"/>
        <v>136.80000000000001</v>
      </c>
    </row>
    <row r="64" spans="1:8">
      <c r="A64" s="94" t="s">
        <v>140</v>
      </c>
      <c r="B64" s="190">
        <f>B38*20%</f>
        <v>8.5500000000000007</v>
      </c>
      <c r="C64" s="190">
        <f t="shared" ref="C64:H64" si="15">C38*20%</f>
        <v>12.825000000000003</v>
      </c>
      <c r="D64" s="190">
        <f t="shared" si="15"/>
        <v>17.100000000000001</v>
      </c>
      <c r="E64" s="190">
        <f t="shared" si="15"/>
        <v>21.375</v>
      </c>
      <c r="F64" s="190">
        <f t="shared" si="15"/>
        <v>25.650000000000002</v>
      </c>
      <c r="G64" s="190">
        <f t="shared" si="15"/>
        <v>29.925000000000001</v>
      </c>
      <c r="H64" s="190">
        <f t="shared" si="15"/>
        <v>34.200000000000003</v>
      </c>
    </row>
    <row r="65" spans="1:8">
      <c r="A65" s="94" t="str">
        <f>A39</f>
        <v>Turmeric</v>
      </c>
      <c r="B65" s="95"/>
      <c r="C65" s="95"/>
      <c r="D65" s="95"/>
      <c r="E65" s="95"/>
      <c r="F65" s="95"/>
      <c r="G65" s="95"/>
      <c r="H65" s="95"/>
    </row>
    <row r="66" spans="1:8">
      <c r="A66" s="94"/>
      <c r="B66" s="95"/>
      <c r="C66" s="95"/>
      <c r="D66" s="95"/>
      <c r="E66" s="95"/>
      <c r="F66" s="95"/>
      <c r="G66" s="95"/>
      <c r="H66" s="95"/>
    </row>
    <row r="67" spans="1:8">
      <c r="A67" s="94"/>
      <c r="B67" s="95"/>
      <c r="C67" s="95"/>
      <c r="D67" s="95"/>
      <c r="E67" s="95"/>
      <c r="F67" s="95"/>
      <c r="G67" s="95"/>
      <c r="H67" s="95"/>
    </row>
    <row r="68" spans="1:8">
      <c r="A68" s="94"/>
      <c r="B68" s="95"/>
      <c r="C68" s="95"/>
      <c r="D68" s="95"/>
      <c r="E68" s="95"/>
      <c r="F68" s="95"/>
      <c r="G68" s="95"/>
      <c r="H68" s="95"/>
    </row>
    <row r="69" spans="1:8">
      <c r="A69" s="94" t="str">
        <f>A40</f>
        <v>Moong</v>
      </c>
      <c r="B69" s="95"/>
      <c r="C69" s="95"/>
      <c r="D69" s="95"/>
      <c r="E69" s="95"/>
      <c r="F69" s="95"/>
      <c r="G69" s="95"/>
      <c r="H69" s="95"/>
    </row>
    <row r="70" spans="1:8">
      <c r="A70" s="94" t="s">
        <v>466</v>
      </c>
      <c r="B70" s="95">
        <f>B40*80%</f>
        <v>24.948</v>
      </c>
      <c r="C70" s="95">
        <f t="shared" ref="C70:H70" si="16">C40*80%</f>
        <v>37.422000000000004</v>
      </c>
      <c r="D70" s="95">
        <f t="shared" si="16"/>
        <v>49.896000000000001</v>
      </c>
      <c r="E70" s="95">
        <f t="shared" si="16"/>
        <v>62.37</v>
      </c>
      <c r="F70" s="95">
        <f t="shared" si="16"/>
        <v>74.84399999999998</v>
      </c>
      <c r="G70" s="95">
        <f t="shared" si="16"/>
        <v>87.317999999999984</v>
      </c>
      <c r="H70" s="95">
        <f t="shared" si="16"/>
        <v>99.791999999999973</v>
      </c>
    </row>
    <row r="71" spans="1:8">
      <c r="A71" s="94" t="s">
        <v>140</v>
      </c>
      <c r="B71" s="95">
        <f>B40*20%</f>
        <v>6.2370000000000001</v>
      </c>
      <c r="C71" s="95">
        <f t="shared" ref="C71:H71" si="17">C40*20%</f>
        <v>9.355500000000001</v>
      </c>
      <c r="D71" s="95">
        <f t="shared" si="17"/>
        <v>12.474</v>
      </c>
      <c r="E71" s="95">
        <f t="shared" si="17"/>
        <v>15.592499999999999</v>
      </c>
      <c r="F71" s="95">
        <f t="shared" si="17"/>
        <v>18.710999999999995</v>
      </c>
      <c r="G71" s="95">
        <f t="shared" si="17"/>
        <v>21.829499999999996</v>
      </c>
      <c r="H71" s="95">
        <f t="shared" si="17"/>
        <v>24.947999999999993</v>
      </c>
    </row>
    <row r="72" spans="1:8">
      <c r="A72" s="94" t="str">
        <f>A41</f>
        <v>Maize</v>
      </c>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c r="B75" s="95"/>
      <c r="C75" s="95"/>
      <c r="D75" s="95"/>
      <c r="E75" s="95"/>
      <c r="F75" s="95"/>
      <c r="G75" s="95"/>
      <c r="H75" s="95"/>
    </row>
    <row r="76" spans="1:8">
      <c r="A76" s="94"/>
      <c r="B76" s="95"/>
      <c r="C76" s="95"/>
      <c r="D76" s="95"/>
      <c r="E76" s="95"/>
      <c r="F76" s="95"/>
      <c r="G76" s="95"/>
      <c r="H76" s="95"/>
    </row>
    <row r="77" spans="1:8">
      <c r="A77" s="94" t="str">
        <f>A42</f>
        <v>Udid</v>
      </c>
      <c r="B77" s="95"/>
      <c r="C77" s="95"/>
      <c r="D77" s="95"/>
      <c r="E77" s="95"/>
      <c r="F77" s="95"/>
      <c r="G77" s="95"/>
      <c r="H77" s="95"/>
    </row>
    <row r="78" spans="1:8">
      <c r="A78" s="94" t="s">
        <v>466</v>
      </c>
      <c r="B78" s="95">
        <f t="shared" ref="B78:H78" si="18">B42*80%</f>
        <v>28.512</v>
      </c>
      <c r="C78" s="95">
        <f t="shared" si="18"/>
        <v>42.768000000000008</v>
      </c>
      <c r="D78" s="95">
        <f t="shared" si="18"/>
        <v>57.024000000000001</v>
      </c>
      <c r="E78" s="95">
        <f t="shared" si="18"/>
        <v>71.280000000000015</v>
      </c>
      <c r="F78" s="95">
        <f t="shared" si="18"/>
        <v>85.536000000000001</v>
      </c>
      <c r="G78" s="95">
        <f t="shared" si="18"/>
        <v>99.792000000000002</v>
      </c>
      <c r="H78" s="95">
        <f t="shared" si="18"/>
        <v>114.04799999999999</v>
      </c>
    </row>
    <row r="79" spans="1:8">
      <c r="A79" s="94" t="s">
        <v>140</v>
      </c>
      <c r="B79" s="95">
        <f t="shared" ref="B79:H79" si="19">B42*20%</f>
        <v>7.1280000000000001</v>
      </c>
      <c r="C79" s="95">
        <f t="shared" si="19"/>
        <v>10.692000000000002</v>
      </c>
      <c r="D79" s="95">
        <f t="shared" si="19"/>
        <v>14.256</v>
      </c>
      <c r="E79" s="95">
        <f t="shared" si="19"/>
        <v>17.820000000000004</v>
      </c>
      <c r="F79" s="95">
        <f t="shared" si="19"/>
        <v>21.384</v>
      </c>
      <c r="G79" s="95">
        <f t="shared" si="19"/>
        <v>24.948</v>
      </c>
      <c r="H79" s="95">
        <f t="shared" si="19"/>
        <v>28.511999999999997</v>
      </c>
    </row>
    <row r="80" spans="1:8">
      <c r="A80" s="94" t="str">
        <f>A43</f>
        <v>Bajra</v>
      </c>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A44</f>
        <v>Jawar</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t="str">
        <f>A45</f>
        <v>Channa</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t="str">
        <f>A46</f>
        <v>Wheat</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t="str">
        <f>A47</f>
        <v>Channa</v>
      </c>
      <c r="B94" s="95"/>
      <c r="C94" s="95"/>
      <c r="D94" s="95"/>
      <c r="E94" s="95"/>
      <c r="F94" s="95"/>
      <c r="G94" s="95"/>
      <c r="H94" s="95"/>
    </row>
    <row r="95" spans="1:8">
      <c r="A95" s="94" t="s">
        <v>466</v>
      </c>
      <c r="B95" s="95">
        <f t="shared" ref="B95:H95" si="20">B47*80%</f>
        <v>287.28000000000003</v>
      </c>
      <c r="C95" s="95">
        <f t="shared" si="20"/>
        <v>430.92000000000007</v>
      </c>
      <c r="D95" s="95">
        <f t="shared" si="20"/>
        <v>574.56000000000006</v>
      </c>
      <c r="E95" s="95">
        <f t="shared" si="20"/>
        <v>718.2</v>
      </c>
      <c r="F95" s="95">
        <f t="shared" si="20"/>
        <v>861.84</v>
      </c>
      <c r="G95" s="95">
        <f t="shared" si="20"/>
        <v>1005.4800000000001</v>
      </c>
      <c r="H95" s="95">
        <f t="shared" si="20"/>
        <v>1149.1200000000001</v>
      </c>
    </row>
    <row r="96" spans="1:8">
      <c r="A96" s="94" t="s">
        <v>140</v>
      </c>
      <c r="B96" s="95">
        <f t="shared" ref="B96:H96" si="21">B47*20%</f>
        <v>71.820000000000007</v>
      </c>
      <c r="C96" s="95">
        <f t="shared" si="21"/>
        <v>107.73000000000002</v>
      </c>
      <c r="D96" s="95">
        <f t="shared" si="21"/>
        <v>143.64000000000001</v>
      </c>
      <c r="E96" s="95">
        <f t="shared" si="21"/>
        <v>179.55</v>
      </c>
      <c r="F96" s="95">
        <f t="shared" si="21"/>
        <v>215.46</v>
      </c>
      <c r="G96" s="95">
        <f t="shared" si="21"/>
        <v>251.37000000000003</v>
      </c>
      <c r="H96" s="95">
        <f t="shared" si="21"/>
        <v>287.28000000000003</v>
      </c>
    </row>
    <row r="97" spans="1:8">
      <c r="A97" s="94" t="str">
        <f>A48</f>
        <v>Jawar</v>
      </c>
      <c r="B97" s="95"/>
      <c r="C97" s="95"/>
      <c r="D97" s="95"/>
      <c r="E97" s="95"/>
      <c r="F97" s="95"/>
      <c r="G97" s="95"/>
      <c r="H97" s="95"/>
    </row>
    <row r="98" spans="1:8">
      <c r="A98" s="94"/>
      <c r="B98" s="95"/>
      <c r="C98" s="95"/>
      <c r="D98" s="95"/>
      <c r="E98" s="95"/>
      <c r="F98" s="95"/>
      <c r="G98" s="95"/>
      <c r="H98" s="95"/>
    </row>
    <row r="99" spans="1:8">
      <c r="A99" s="94"/>
      <c r="B99" s="95"/>
      <c r="C99" s="95"/>
      <c r="D99" s="95"/>
      <c r="E99" s="95"/>
      <c r="F99" s="95"/>
      <c r="G99" s="95"/>
      <c r="H99" s="95"/>
    </row>
    <row r="100" spans="1:8">
      <c r="A100" s="94" t="str">
        <f>A49</f>
        <v>Maize</v>
      </c>
      <c r="B100" s="95"/>
      <c r="C100" s="95"/>
      <c r="D100" s="95"/>
      <c r="E100" s="95"/>
      <c r="F100" s="95"/>
      <c r="G100" s="95"/>
      <c r="H100" s="95"/>
    </row>
    <row r="101" spans="1:8">
      <c r="A101" s="94"/>
      <c r="B101" s="95"/>
      <c r="C101" s="95"/>
      <c r="D101" s="95"/>
      <c r="E101" s="95"/>
      <c r="F101" s="95"/>
      <c r="G101" s="95"/>
      <c r="H101" s="95"/>
    </row>
    <row r="102" spans="1:8">
      <c r="A102" s="94"/>
      <c r="B102" s="95"/>
      <c r="C102" s="95"/>
      <c r="D102" s="95"/>
      <c r="E102" s="95"/>
      <c r="F102" s="95"/>
      <c r="G102" s="95"/>
      <c r="H102" s="95"/>
    </row>
    <row r="103" spans="1:8">
      <c r="A103" s="94" t="str">
        <f>A50</f>
        <v>Safflower</v>
      </c>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A51</f>
        <v>Groundnut</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f>A52</f>
        <v>0</v>
      </c>
      <c r="B109" s="95"/>
      <c r="C109" s="95"/>
      <c r="D109" s="95"/>
      <c r="E109" s="95"/>
      <c r="F109" s="95"/>
      <c r="G109" s="95"/>
      <c r="H109" s="95"/>
    </row>
    <row r="110" spans="1:8">
      <c r="A110" s="94"/>
      <c r="B110" s="95"/>
      <c r="C110" s="95"/>
      <c r="D110" s="95"/>
      <c r="E110" s="95"/>
      <c r="F110" s="95"/>
      <c r="G110" s="95"/>
      <c r="H110" s="95"/>
    </row>
    <row r="111" spans="1:8">
      <c r="A111" s="94"/>
      <c r="B111" s="95"/>
      <c r="C111" s="95"/>
      <c r="D111" s="95"/>
      <c r="E111" s="95"/>
      <c r="F111" s="95"/>
      <c r="G111" s="95"/>
      <c r="H111" s="95"/>
    </row>
    <row r="112" spans="1:8">
      <c r="A112" s="94">
        <f>A53</f>
        <v>0</v>
      </c>
      <c r="B112" s="95"/>
      <c r="C112" s="95"/>
      <c r="D112" s="95"/>
      <c r="E112" s="95"/>
      <c r="F112" s="95"/>
      <c r="G112" s="95"/>
      <c r="H112" s="95"/>
    </row>
    <row r="113" spans="1:8">
      <c r="A113" s="94"/>
      <c r="B113" s="95"/>
      <c r="C113" s="95"/>
      <c r="D113" s="95"/>
      <c r="E113" s="95"/>
      <c r="F113" s="95"/>
      <c r="G113" s="95"/>
      <c r="H113" s="95"/>
    </row>
    <row r="114" spans="1:8">
      <c r="A114" s="94"/>
      <c r="B114" s="95"/>
      <c r="C114" s="95"/>
      <c r="D114" s="95"/>
      <c r="E114" s="95"/>
      <c r="F114" s="95"/>
      <c r="G114" s="95"/>
      <c r="H114" s="95"/>
    </row>
    <row r="115" spans="1:8">
      <c r="A115" s="94" t="str">
        <f>A54</f>
        <v>Soybean</v>
      </c>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4" t="str">
        <f>A55</f>
        <v>Paddy</v>
      </c>
      <c r="B118" s="95"/>
      <c r="C118" s="95"/>
      <c r="D118" s="95"/>
      <c r="E118" s="95"/>
      <c r="F118" s="95"/>
      <c r="G118" s="95"/>
      <c r="H118" s="95"/>
    </row>
    <row r="119" spans="1:8">
      <c r="A119" s="94"/>
      <c r="B119" s="95"/>
      <c r="C119" s="95"/>
      <c r="D119" s="95"/>
      <c r="E119" s="95"/>
      <c r="F119" s="95"/>
      <c r="G119" s="95"/>
      <c r="H119" s="95"/>
    </row>
    <row r="120" spans="1:8">
      <c r="A120" s="94"/>
      <c r="B120" s="95"/>
      <c r="C120" s="95"/>
      <c r="D120" s="95"/>
      <c r="E120" s="95"/>
      <c r="F120" s="95"/>
      <c r="G120" s="95"/>
      <c r="H120" s="95"/>
    </row>
    <row r="121" spans="1:8">
      <c r="A121" s="94">
        <f>A56</f>
        <v>0</v>
      </c>
      <c r="B121" s="95"/>
      <c r="C121" s="95"/>
      <c r="D121" s="95"/>
      <c r="E121" s="95"/>
      <c r="F121" s="95"/>
      <c r="G121" s="95"/>
      <c r="H121" s="95"/>
    </row>
    <row r="122" spans="1:8">
      <c r="A122" s="185"/>
      <c r="B122" s="294"/>
      <c r="C122" s="294"/>
      <c r="D122" s="294"/>
      <c r="E122" s="294"/>
      <c r="F122" s="294"/>
      <c r="G122" s="294"/>
      <c r="H122" s="294"/>
    </row>
    <row r="123" spans="1:8">
      <c r="A123" s="185"/>
      <c r="B123" s="294"/>
      <c r="C123" s="294"/>
      <c r="D123" s="294"/>
      <c r="E123" s="294"/>
      <c r="F123" s="294"/>
      <c r="G123" s="294"/>
      <c r="H123" s="294"/>
    </row>
    <row r="124" spans="1:8">
      <c r="A124" s="186" t="s">
        <v>452</v>
      </c>
      <c r="B124">
        <v>50</v>
      </c>
    </row>
    <row r="131" spans="1:10" ht="18.75">
      <c r="A131" s="412" t="s">
        <v>689</v>
      </c>
      <c r="B131" s="412"/>
      <c r="C131" s="412"/>
      <c r="D131" s="412"/>
      <c r="E131" s="412"/>
      <c r="F131" s="412"/>
      <c r="G131" s="412"/>
      <c r="H131" s="412"/>
      <c r="I131" s="412"/>
      <c r="J131" s="412"/>
    </row>
    <row r="132" spans="1:10">
      <c r="A132" s="60"/>
      <c r="B132" s="62"/>
      <c r="C132" s="62"/>
      <c r="D132" s="60"/>
      <c r="E132" s="60"/>
      <c r="F132" s="60"/>
      <c r="G132" s="60"/>
      <c r="H132" s="60"/>
    </row>
    <row r="133" spans="1:10">
      <c r="A133" s="191"/>
      <c r="B133" s="191"/>
      <c r="C133" s="191"/>
      <c r="D133" s="192">
        <v>1</v>
      </c>
      <c r="E133" s="193">
        <f>(D133*5%)+D133</f>
        <v>1.05</v>
      </c>
      <c r="F133" s="193">
        <f t="shared" ref="F133:J133" si="22">(E133*5%)+E133</f>
        <v>1.1025</v>
      </c>
      <c r="G133" s="193">
        <f t="shared" si="22"/>
        <v>1.1576250000000001</v>
      </c>
      <c r="H133" s="193">
        <f t="shared" si="22"/>
        <v>1.2155062500000002</v>
      </c>
      <c r="I133" s="193">
        <f t="shared" si="22"/>
        <v>1.2762815625000004</v>
      </c>
      <c r="J133" s="193">
        <f t="shared" si="22"/>
        <v>1.3400956406250004</v>
      </c>
    </row>
    <row r="134" spans="1:10">
      <c r="A134" s="93"/>
      <c r="B134" s="93"/>
      <c r="C134" s="93"/>
      <c r="D134" s="93"/>
      <c r="E134" s="93"/>
      <c r="F134" s="93"/>
      <c r="G134" s="93"/>
      <c r="H134" s="93"/>
      <c r="I134" s="93"/>
      <c r="J134" s="93"/>
    </row>
    <row r="135" spans="1:10">
      <c r="A135" s="147" t="s">
        <v>0</v>
      </c>
      <c r="B135" s="147" t="s">
        <v>132</v>
      </c>
      <c r="C135" s="147" t="s">
        <v>151</v>
      </c>
      <c r="D135" s="119" t="s">
        <v>2</v>
      </c>
      <c r="E135" s="119" t="s">
        <v>3</v>
      </c>
      <c r="F135" s="119" t="s">
        <v>4</v>
      </c>
      <c r="G135" s="119" t="s">
        <v>5</v>
      </c>
      <c r="H135" s="119" t="s">
        <v>6</v>
      </c>
      <c r="I135" s="119" t="s">
        <v>167</v>
      </c>
      <c r="J135" s="119" t="s">
        <v>166</v>
      </c>
    </row>
    <row r="136" spans="1:10">
      <c r="A136" s="94"/>
      <c r="B136" s="94"/>
      <c r="C136" s="94"/>
      <c r="D136" s="94"/>
      <c r="E136" s="94"/>
      <c r="F136" s="94"/>
      <c r="G136" s="94"/>
      <c r="H136" s="94"/>
      <c r="I136" s="94"/>
      <c r="J136" s="94"/>
    </row>
    <row r="137" spans="1:10">
      <c r="A137" s="96" t="s">
        <v>127</v>
      </c>
      <c r="B137" s="96"/>
      <c r="C137" s="96"/>
      <c r="D137" s="113"/>
      <c r="E137" s="113"/>
      <c r="F137" s="113"/>
      <c r="G137" s="113"/>
      <c r="H137" s="113"/>
      <c r="I137" s="94"/>
      <c r="J137" s="94"/>
    </row>
    <row r="138" spans="1:10">
      <c r="A138" s="96" t="s">
        <v>317</v>
      </c>
      <c r="B138" s="96"/>
      <c r="C138" s="96"/>
      <c r="D138" s="94"/>
      <c r="E138" s="94"/>
      <c r="F138" s="94"/>
      <c r="G138" s="94"/>
      <c r="H138" s="94"/>
      <c r="I138" s="94"/>
      <c r="J138" s="94"/>
    </row>
    <row r="139" spans="1:10">
      <c r="A139" s="94" t="str">
        <f>+'12.Facility 1 - Trading'!A178</f>
        <v>Soybean</v>
      </c>
      <c r="B139" s="229" t="s">
        <v>697</v>
      </c>
      <c r="C139" s="229">
        <v>65</v>
      </c>
      <c r="D139" s="95">
        <f>(((B95*100)*(1-'5.Closing Stock &amp; W Capital'!$D$16))/$B$124)*$C$139*D133</f>
        <v>22407.840000000004</v>
      </c>
      <c r="E139" s="95">
        <f>E133*((((C95*100)*(1-'5.Closing Stock &amp; W Capital'!$D$16))+((B95*100)*'5.Closing Stock &amp; W Capital'!$D$16))/$B$124)*$C$139</f>
        <v>50977.836000000018</v>
      </c>
      <c r="F139" s="95">
        <f>F133*((((D95*100)*(1-'5.Closing Stock &amp; W Capital'!$D$16))+((C95*100)*'5.Closing Stock &amp; W Capital'!$D$16))/$B$124)*$C$139</f>
        <v>74113.930800000002</v>
      </c>
      <c r="G139" s="95">
        <f>G133*((((E95*100)*(1-'5.Closing Stock &amp; W Capital'!$D$16))+((D95*100)*'5.Closing Stock &amp; W Capital'!$D$16))/$B$124)*$C$139</f>
        <v>99436.190490000037</v>
      </c>
      <c r="H139" s="95">
        <f>H133*((((F95*100)*(1-'5.Closing Stock &amp; W Capital'!$D$16))+((E95*100)*'5.Closing Stock &amp; W Capital'!$D$16))/$B$124)*$C$139</f>
        <v>127105.39132200001</v>
      </c>
      <c r="I139" s="95">
        <f>I133*((((G95*100)*(1-'5.Closing Stock &amp; W Capital'!$D$16))+((F95*100)*'5.Closing Stock &amp; W Capital'!$D$16))/$B$124)*$C$139</f>
        <v>157292.92176097503</v>
      </c>
      <c r="J139" s="95">
        <f>J133*((((H95*100)*(1-'5.Closing Stock &amp; W Capital'!$D$16))+((G95*100)*'5.Closing Stock &amp; W Capital'!$D$16))/$B$124)*$C$139</f>
        <v>190181.44176554258</v>
      </c>
    </row>
    <row r="140" spans="1:10">
      <c r="A140" s="94" t="str">
        <f>+'12.Facility 1 - Trading'!A179</f>
        <v>Tur</v>
      </c>
      <c r="B140" s="229" t="s">
        <v>697</v>
      </c>
      <c r="C140" s="229">
        <v>65</v>
      </c>
      <c r="D140" s="95">
        <f>(((B63*100)*(1-'5.Closing Stock &amp; W Capital'!$D$16))/B124)*$C$140*D133</f>
        <v>2667.6</v>
      </c>
      <c r="E140" s="95">
        <f>((((C63*100)*(1-'5.Closing Stock &amp; W Capital'!$D$16))+((B63*100)*'5.Closing Stock &amp; W Capital'!$D$16))/$B$124)*$C$140*E133</f>
        <v>6068.7900000000018</v>
      </c>
      <c r="F140" s="95">
        <f>((((D63*100)*(1-'5.Closing Stock &amp; W Capital'!$D$16))+((C63*100)*'5.Closing Stock &amp; W Capital'!$D$16))/$B$124)*$C$140*F133</f>
        <v>8823.0870000000014</v>
      </c>
      <c r="G140" s="95">
        <f>((((E63*100)*(1-'5.Closing Stock &amp; W Capital'!$D$16))+((D63*100)*'5.Closing Stock &amp; W Capital'!$D$16))/$B$124)*$C$140*G133</f>
        <v>11837.641725000001</v>
      </c>
      <c r="H140" s="95">
        <f>((((F63*100)*(1-'5.Closing Stock &amp; W Capital'!$D$16))+((E63*100)*'5.Closing Stock &amp; W Capital'!$D$16))/$B$124)*$C$140*H133</f>
        <v>15131.594205000005</v>
      </c>
      <c r="I140" s="95">
        <f>((((G63*100)*(1-'5.Closing Stock &amp; W Capital'!$D$16))+((F63*100)*'5.Closing Stock &amp; W Capital'!$D$16))/$B$124)*$C$140*I133</f>
        <v>18725.347828687503</v>
      </c>
      <c r="J140" s="95">
        <f>((((H63*100)*(1-'5.Closing Stock &amp; W Capital'!$D$16))+((G63*100)*'5.Closing Stock &amp; W Capital'!$D$16))/$B$124)*$C$140*J133</f>
        <v>22640.647829231257</v>
      </c>
    </row>
    <row r="141" spans="1:10">
      <c r="A141" s="94" t="str">
        <f>+'12.Facility 1 - Trading'!A180</f>
        <v>Turmeric</v>
      </c>
      <c r="B141" s="229" t="s">
        <v>697</v>
      </c>
      <c r="C141" s="229">
        <v>100</v>
      </c>
      <c r="D141" s="95">
        <f>(((B78*100)*(1-'5.Closing Stock &amp; W Capital'!D16))/$B$124)*$C$141*D133</f>
        <v>3421.4399999999996</v>
      </c>
      <c r="E141" s="95">
        <f>((((C78*100)*(1-'5.Closing Stock &amp; W Capital'!$D$16))+((B78*100)*'5.Closing Stock &amp; W Capital'!$D$16))/$B$124)*$C$141*E133</f>
        <v>7783.7760000000007</v>
      </c>
      <c r="F141" s="95">
        <f>((((D78*100)*(1-'5.Closing Stock &amp; W Capital'!$D$16))+((C78*100)*'5.Closing Stock &amp; W Capital'!$D$16))/$B$124)*$C$141*F133</f>
        <v>11316.4128</v>
      </c>
      <c r="G141" s="95">
        <f>((((E78*100)*(1-'5.Closing Stock &amp; W Capital'!$D$16))+((D78*100)*'5.Closing Stock &amp; W Capital'!$D$16))/$B$124)*$C$141*G133</f>
        <v>15182.853840000007</v>
      </c>
      <c r="H141" s="95">
        <f>((((F78*100)*(1-'5.Closing Stock &amp; W Capital'!$D$16))+((E78*100)*'5.Closing Stock &amp; W Capital'!$D$16))/$B$124)*$C$141*H133</f>
        <v>19407.647952000007</v>
      </c>
      <c r="I141" s="95">
        <f>((((G78*100)*(1-'5.Closing Stock &amp; W Capital'!$D$16))+((F78*100)*'5.Closing Stock &amp; W Capital'!$D$16))/$B$124)*$C$141*I133</f>
        <v>24016.96434060001</v>
      </c>
      <c r="J141" s="95">
        <f>((((H78*100)*(1-'5.Closing Stock &amp; W Capital'!$D$16))+((G78*100)*'5.Closing Stock &amp; W Capital'!$D$16))/$B$124)*$C$141*J133</f>
        <v>29038.693248180007</v>
      </c>
    </row>
    <row r="142" spans="1:10">
      <c r="A142" s="94" t="str">
        <f>+'12.Facility 1 - Trading'!A181</f>
        <v>Moong</v>
      </c>
      <c r="B142" s="229" t="s">
        <v>697</v>
      </c>
      <c r="C142" s="229">
        <v>65</v>
      </c>
      <c r="D142" s="95">
        <f>(((B70*100)*(1-'5.Closing Stock &amp; W Capital'!D16))/B124)*$C$142*D133</f>
        <v>1945.9440000000002</v>
      </c>
      <c r="E142" s="95">
        <f>((((C70*100)*(1-'5.Closing Stock &amp; W Capital'!$D$16))+((B70*100)*'5.Closing Stock &amp; W Capital'!$D$16))/$B$124)*$C$142*E133</f>
        <v>4427.0226000000002</v>
      </c>
      <c r="F142" s="95">
        <f>((((D70*100)*(1-'5.Closing Stock &amp; W Capital'!$D$16))+((C70*100)*'5.Closing Stock &amp; W Capital'!$D$16))/$B$124)*$C$142*F133</f>
        <v>6436.2097800000001</v>
      </c>
      <c r="G142" s="95">
        <f>((((E70*100)*(1-'5.Closing Stock &amp; W Capital'!$D$16))+((D70*100)*'5.Closing Stock &amp; W Capital'!$D$16))/$B$124)*$C$142*G133</f>
        <v>8635.2481215000007</v>
      </c>
      <c r="H142" s="95">
        <f>((((F70*100)*(1-'5.Closing Stock &amp; W Capital'!$D$16))+((E70*100)*'5.Closing Stock &amp; W Capital'!$D$16))/$B$124)*$C$142*H133</f>
        <v>11038.099772699999</v>
      </c>
      <c r="I142" s="95">
        <f>((((G70*100)*(1-'5.Closing Stock &amp; W Capital'!$D$16))+((F70*100)*'5.Closing Stock &amp; W Capital'!$D$16))/$B$124)*$C$142*I133</f>
        <v>13659.648468716252</v>
      </c>
      <c r="J142" s="95">
        <f>((((H70*100)*(1-'5.Closing Stock &amp; W Capital'!$D$16))+((G70*100)*'5.Closing Stock &amp; W Capital'!$D$16))/$B$124)*$C$142*J133</f>
        <v>16515.756784902376</v>
      </c>
    </row>
    <row r="143" spans="1:10">
      <c r="A143" s="94"/>
      <c r="B143" s="229"/>
      <c r="C143" s="229"/>
      <c r="D143" s="95"/>
      <c r="E143" s="95"/>
      <c r="F143" s="95"/>
      <c r="G143" s="95"/>
      <c r="H143" s="95"/>
      <c r="I143" s="95"/>
      <c r="J143" s="95"/>
    </row>
    <row r="144" spans="1:10">
      <c r="A144" s="94"/>
      <c r="B144" s="229"/>
      <c r="C144" s="229"/>
      <c r="D144" s="95"/>
      <c r="E144" s="95"/>
      <c r="F144" s="95"/>
      <c r="G144" s="95"/>
      <c r="H144" s="95"/>
      <c r="I144" s="95"/>
      <c r="J144" s="95"/>
    </row>
    <row r="145" spans="1:11">
      <c r="A145" s="94"/>
      <c r="B145" s="229"/>
      <c r="C145" s="229"/>
      <c r="D145" s="95"/>
      <c r="E145" s="95"/>
      <c r="F145" s="95"/>
      <c r="G145" s="95"/>
      <c r="H145" s="95"/>
      <c r="I145" s="95"/>
      <c r="J145" s="95"/>
    </row>
    <row r="146" spans="1:11">
      <c r="A146" s="94"/>
      <c r="B146" s="94"/>
      <c r="C146" s="94"/>
      <c r="D146" s="95"/>
      <c r="E146" s="95"/>
      <c r="F146" s="95"/>
      <c r="G146" s="95"/>
      <c r="H146" s="95"/>
      <c r="I146" s="95"/>
      <c r="J146" s="95"/>
    </row>
    <row r="147" spans="1:11">
      <c r="A147" s="96" t="s">
        <v>140</v>
      </c>
      <c r="B147" s="234" t="s">
        <v>360</v>
      </c>
      <c r="C147" s="234">
        <v>10</v>
      </c>
      <c r="D147" s="95">
        <f t="shared" ref="D147:J147" si="23">((B63+B95+B78+B70)*100)*$C$147*D133</f>
        <v>374940</v>
      </c>
      <c r="E147" s="95">
        <f t="shared" si="23"/>
        <v>590530.50000000012</v>
      </c>
      <c r="F147" s="95">
        <f t="shared" si="23"/>
        <v>826742.70000000007</v>
      </c>
      <c r="G147" s="95">
        <f t="shared" si="23"/>
        <v>1085099.7937500002</v>
      </c>
      <c r="H147" s="95">
        <f t="shared" si="23"/>
        <v>1367225.7401250005</v>
      </c>
      <c r="I147" s="95">
        <f t="shared" si="23"/>
        <v>1674851.5316531255</v>
      </c>
      <c r="J147" s="95">
        <f t="shared" si="23"/>
        <v>2009821.8379837507</v>
      </c>
    </row>
    <row r="148" spans="1:11">
      <c r="A148" s="94"/>
      <c r="B148" s="229"/>
      <c r="C148" s="229"/>
      <c r="D148" s="95"/>
      <c r="E148" s="95"/>
      <c r="F148" s="95"/>
      <c r="G148" s="95"/>
      <c r="H148" s="95"/>
      <c r="I148" s="95"/>
      <c r="J148" s="95"/>
      <c r="K148" s="63">
        <f>[2]Output!T58*70*K133</f>
        <v>0</v>
      </c>
    </row>
    <row r="149" spans="1:11">
      <c r="A149" s="96" t="s">
        <v>294</v>
      </c>
      <c r="B149" s="234" t="s">
        <v>360</v>
      </c>
      <c r="C149" s="229">
        <v>5</v>
      </c>
      <c r="D149" s="95">
        <f t="shared" ref="D149:J149" si="24">(B35*100)*$C$149*D133</f>
        <v>64106.249999999993</v>
      </c>
      <c r="E149" s="95">
        <f t="shared" si="24"/>
        <v>100967.34375000001</v>
      </c>
      <c r="F149" s="95">
        <f t="shared" si="24"/>
        <v>141354.28125</v>
      </c>
      <c r="G149" s="95">
        <f t="shared" si="24"/>
        <v>185527.49414062503</v>
      </c>
      <c r="H149" s="95">
        <f t="shared" si="24"/>
        <v>233764.64261718758</v>
      </c>
      <c r="I149" s="95">
        <f t="shared" si="24"/>
        <v>286361.6872060548</v>
      </c>
      <c r="J149" s="95">
        <f t="shared" si="24"/>
        <v>343634.02464726567</v>
      </c>
    </row>
    <row r="150" spans="1:11">
      <c r="A150" s="94"/>
      <c r="B150" s="94"/>
      <c r="C150" s="94"/>
      <c r="D150" s="95"/>
      <c r="E150" s="95"/>
      <c r="F150" s="95"/>
      <c r="G150" s="95"/>
      <c r="H150" s="95"/>
      <c r="I150" s="95"/>
      <c r="J150" s="95"/>
    </row>
    <row r="151" spans="1:11">
      <c r="A151" s="96" t="s">
        <v>127</v>
      </c>
      <c r="B151" s="96"/>
      <c r="C151" s="96"/>
      <c r="D151" s="114">
        <f>SUM(D139:D149)</f>
        <v>469489.07400000002</v>
      </c>
      <c r="E151" s="114">
        <f t="shared" ref="E151:J151" si="25">SUM(E139:E149)</f>
        <v>760755.26835000014</v>
      </c>
      <c r="F151" s="114">
        <f t="shared" si="25"/>
        <v>1068786.62163</v>
      </c>
      <c r="G151" s="114">
        <f t="shared" si="25"/>
        <v>1405719.2220671251</v>
      </c>
      <c r="H151" s="114">
        <f t="shared" si="25"/>
        <v>1773673.1159938881</v>
      </c>
      <c r="I151" s="114">
        <f t="shared" si="25"/>
        <v>2174908.1012581591</v>
      </c>
      <c r="J151" s="114">
        <f t="shared" si="25"/>
        <v>2611832.4022588725</v>
      </c>
    </row>
    <row r="152" spans="1:11">
      <c r="A152" s="94"/>
      <c r="B152" s="94"/>
      <c r="C152" s="94"/>
      <c r="D152" s="95"/>
      <c r="E152" s="95"/>
      <c r="F152" s="95"/>
      <c r="G152" s="95"/>
      <c r="H152" s="95"/>
      <c r="I152" s="95"/>
      <c r="J152" s="95"/>
    </row>
    <row r="153" spans="1:11">
      <c r="A153" s="96" t="s">
        <v>141</v>
      </c>
      <c r="B153" s="96"/>
      <c r="C153" s="96"/>
      <c r="D153" s="95"/>
      <c r="E153" s="95"/>
      <c r="F153" s="95"/>
      <c r="G153" s="95"/>
      <c r="H153" s="95"/>
      <c r="I153" s="95"/>
      <c r="J153" s="95"/>
    </row>
    <row r="154" spans="1:11">
      <c r="A154" s="96" t="s">
        <v>312</v>
      </c>
      <c r="B154" s="96"/>
      <c r="C154" s="94"/>
      <c r="D154" s="95"/>
      <c r="E154" s="95"/>
      <c r="F154" s="95"/>
      <c r="G154" s="95"/>
      <c r="H154" s="95"/>
      <c r="I154" s="95"/>
      <c r="J154" s="95"/>
    </row>
    <row r="155" spans="1:11">
      <c r="A155" s="98" t="str">
        <f>+A139</f>
        <v>Soybean</v>
      </c>
      <c r="B155" s="229" t="s">
        <v>697</v>
      </c>
      <c r="C155" s="247">
        <v>20</v>
      </c>
      <c r="D155" s="95">
        <f t="shared" ref="D155:J155" si="26">(B47)*$C$155*D133</f>
        <v>7182</v>
      </c>
      <c r="E155" s="95">
        <f t="shared" si="26"/>
        <v>11311.650000000003</v>
      </c>
      <c r="F155" s="95">
        <f t="shared" si="26"/>
        <v>15836.310000000001</v>
      </c>
      <c r="G155" s="95">
        <f t="shared" si="26"/>
        <v>20785.156875000001</v>
      </c>
      <c r="H155" s="95">
        <f t="shared" si="26"/>
        <v>26189.297662500005</v>
      </c>
      <c r="I155" s="95">
        <f t="shared" si="26"/>
        <v>32081.889636562515</v>
      </c>
      <c r="J155" s="95">
        <f t="shared" si="26"/>
        <v>38498.267563875015</v>
      </c>
    </row>
    <row r="156" spans="1:11">
      <c r="A156" s="94" t="str">
        <f>+A140</f>
        <v>Tur</v>
      </c>
      <c r="B156" s="229" t="s">
        <v>697</v>
      </c>
      <c r="C156" s="247">
        <v>20</v>
      </c>
      <c r="D156" s="95">
        <f t="shared" ref="D156:J156" si="27">(B38)*$C$156*D133</f>
        <v>855</v>
      </c>
      <c r="E156" s="95">
        <f t="shared" si="27"/>
        <v>1346.6250000000002</v>
      </c>
      <c r="F156" s="95">
        <f t="shared" si="27"/>
        <v>1885.2750000000001</v>
      </c>
      <c r="G156" s="95">
        <f t="shared" si="27"/>
        <v>2474.4234375000001</v>
      </c>
      <c r="H156" s="95">
        <f t="shared" si="27"/>
        <v>3117.7735312500008</v>
      </c>
      <c r="I156" s="95">
        <f t="shared" si="27"/>
        <v>3819.2725757812509</v>
      </c>
      <c r="J156" s="95">
        <f t="shared" si="27"/>
        <v>4583.1270909375016</v>
      </c>
    </row>
    <row r="157" spans="1:11">
      <c r="A157" s="94" t="str">
        <f>+A141</f>
        <v>Turmeric</v>
      </c>
      <c r="B157" s="229" t="s">
        <v>697</v>
      </c>
      <c r="C157" s="247">
        <v>35</v>
      </c>
      <c r="D157" s="95">
        <f t="shared" ref="D157:J157" si="28">(B42)*$C$157*D133</f>
        <v>1247.4000000000001</v>
      </c>
      <c r="E157" s="95">
        <f t="shared" si="28"/>
        <v>1964.6550000000004</v>
      </c>
      <c r="F157" s="95">
        <f t="shared" si="28"/>
        <v>2750.5170000000003</v>
      </c>
      <c r="G157" s="95">
        <f t="shared" si="28"/>
        <v>3610.0535625000011</v>
      </c>
      <c r="H157" s="95">
        <f t="shared" si="28"/>
        <v>4548.6674887500012</v>
      </c>
      <c r="I157" s="95">
        <f t="shared" si="28"/>
        <v>5572.1176737187507</v>
      </c>
      <c r="J157" s="95">
        <f t="shared" si="28"/>
        <v>6686.5412084625013</v>
      </c>
    </row>
    <row r="158" spans="1:11">
      <c r="A158" s="94" t="str">
        <f>+A142</f>
        <v>Moong</v>
      </c>
      <c r="B158" s="229" t="s">
        <v>697</v>
      </c>
      <c r="C158" s="247">
        <v>30</v>
      </c>
      <c r="D158" s="95">
        <f t="shared" ref="D158:J158" si="29">(B40)*$C$158*D133</f>
        <v>935.55</v>
      </c>
      <c r="E158" s="95">
        <f t="shared" si="29"/>
        <v>1473.49125</v>
      </c>
      <c r="F158" s="95">
        <f t="shared" si="29"/>
        <v>2062.8877499999999</v>
      </c>
      <c r="G158" s="95">
        <f t="shared" si="29"/>
        <v>2707.5401718749999</v>
      </c>
      <c r="H158" s="95">
        <f t="shared" si="29"/>
        <v>3411.5006165624995</v>
      </c>
      <c r="I158" s="95">
        <f t="shared" si="29"/>
        <v>4179.0882552890625</v>
      </c>
      <c r="J158" s="95">
        <f t="shared" si="29"/>
        <v>5014.9059063468749</v>
      </c>
    </row>
    <row r="159" spans="1:11">
      <c r="A159" s="94"/>
      <c r="B159" s="229">
        <v>0</v>
      </c>
      <c r="C159" s="229">
        <v>0</v>
      </c>
      <c r="D159" s="95">
        <f t="shared" ref="D159:J159" si="30">(B32/10)*$B$159*$C$159*D133</f>
        <v>0</v>
      </c>
      <c r="E159" s="95">
        <f t="shared" si="30"/>
        <v>0</v>
      </c>
      <c r="F159" s="95">
        <f t="shared" si="30"/>
        <v>0</v>
      </c>
      <c r="G159" s="95">
        <f t="shared" si="30"/>
        <v>0</v>
      </c>
      <c r="H159" s="95">
        <f t="shared" si="30"/>
        <v>0</v>
      </c>
      <c r="I159" s="95">
        <f t="shared" si="30"/>
        <v>0</v>
      </c>
      <c r="J159" s="95">
        <f t="shared" si="30"/>
        <v>0</v>
      </c>
    </row>
    <row r="160" spans="1:11">
      <c r="A160" s="94" t="s">
        <v>318</v>
      </c>
      <c r="B160" s="229">
        <v>5</v>
      </c>
      <c r="C160" s="229">
        <v>3500</v>
      </c>
      <c r="D160" s="95">
        <f t="shared" ref="D160:J160" si="31">B12*$B$160*$C$160*D133</f>
        <v>28046.484374999996</v>
      </c>
      <c r="E160" s="95">
        <f t="shared" si="31"/>
        <v>44173.212890625015</v>
      </c>
      <c r="F160" s="95">
        <f t="shared" si="31"/>
        <v>61842.498046874993</v>
      </c>
      <c r="G160" s="95">
        <f t="shared" si="31"/>
        <v>81168.278686523452</v>
      </c>
      <c r="H160" s="95">
        <f t="shared" si="31"/>
        <v>102272.03114501954</v>
      </c>
      <c r="I160" s="95">
        <f t="shared" si="31"/>
        <v>125283.23815264898</v>
      </c>
      <c r="J160" s="95">
        <f t="shared" si="31"/>
        <v>150339.88578317873</v>
      </c>
    </row>
    <row r="161" spans="1:10">
      <c r="A161" s="94" t="s">
        <v>143</v>
      </c>
      <c r="B161" s="94">
        <f>'2.Capex Details'!H47*0.746*8</f>
        <v>0</v>
      </c>
      <c r="C161" s="229">
        <v>8</v>
      </c>
      <c r="D161" s="95">
        <f t="shared" ref="D161:J161" si="32">$B$161*$C$161*B12*D133</f>
        <v>0</v>
      </c>
      <c r="E161" s="95">
        <f t="shared" si="32"/>
        <v>0</v>
      </c>
      <c r="F161" s="95">
        <f t="shared" si="32"/>
        <v>0</v>
      </c>
      <c r="G161" s="95">
        <f t="shared" si="32"/>
        <v>0</v>
      </c>
      <c r="H161" s="95">
        <f t="shared" si="32"/>
        <v>0</v>
      </c>
      <c r="I161" s="95">
        <f t="shared" si="32"/>
        <v>0</v>
      </c>
      <c r="J161" s="95">
        <f t="shared" si="32"/>
        <v>0</v>
      </c>
    </row>
    <row r="162" spans="1:10">
      <c r="A162" s="94" t="s">
        <v>295</v>
      </c>
      <c r="B162" s="94">
        <v>5</v>
      </c>
      <c r="C162" s="229">
        <v>10</v>
      </c>
      <c r="D162" s="95">
        <f t="shared" ref="D162:J162" si="33">((B35*100)/50)*$C$162*D133</f>
        <v>2564.2499999999995</v>
      </c>
      <c r="E162" s="95">
        <f t="shared" si="33"/>
        <v>4038.6937500000008</v>
      </c>
      <c r="F162" s="95">
        <f t="shared" si="33"/>
        <v>5654.1712499999994</v>
      </c>
      <c r="G162" s="95">
        <f t="shared" si="33"/>
        <v>7421.0997656250011</v>
      </c>
      <c r="H162" s="95">
        <f t="shared" si="33"/>
        <v>9350.5857046875026</v>
      </c>
      <c r="I162" s="95">
        <f t="shared" si="33"/>
        <v>11454.467488242193</v>
      </c>
      <c r="J162" s="95">
        <f t="shared" si="33"/>
        <v>13745.360985890627</v>
      </c>
    </row>
    <row r="163" spans="1:10">
      <c r="A163" s="108" t="s">
        <v>296</v>
      </c>
      <c r="B163" s="108">
        <v>5</v>
      </c>
      <c r="C163" s="248">
        <v>20</v>
      </c>
      <c r="D163" s="95">
        <f t="shared" ref="D163:J163" si="34">(((B78+B69+B95+B63)*100)/50)*$C$163*D133</f>
        <v>13999.68</v>
      </c>
      <c r="E163" s="95">
        <f t="shared" si="34"/>
        <v>22049.496000000006</v>
      </c>
      <c r="F163" s="95">
        <f t="shared" si="34"/>
        <v>30869.294400000002</v>
      </c>
      <c r="G163" s="95">
        <f t="shared" si="34"/>
        <v>40515.948900000003</v>
      </c>
      <c r="H163" s="95">
        <f t="shared" si="34"/>
        <v>51050.095614000005</v>
      </c>
      <c r="I163" s="95">
        <f t="shared" si="34"/>
        <v>62536.367127150021</v>
      </c>
      <c r="J163" s="95">
        <f t="shared" si="34"/>
        <v>75043.640552580022</v>
      </c>
    </row>
    <row r="164" spans="1:10">
      <c r="A164" s="94" t="s">
        <v>297</v>
      </c>
      <c r="B164" s="94">
        <v>5</v>
      </c>
      <c r="C164" s="229">
        <v>20</v>
      </c>
      <c r="D164" s="95">
        <f t="shared" ref="D164:J164" si="35">(((B78+B69+B95+B63)*100)/50)*$C$164*D133</f>
        <v>13999.68</v>
      </c>
      <c r="E164" s="95">
        <f t="shared" si="35"/>
        <v>22049.496000000006</v>
      </c>
      <c r="F164" s="95">
        <f t="shared" si="35"/>
        <v>30869.294400000002</v>
      </c>
      <c r="G164" s="95">
        <f t="shared" si="35"/>
        <v>40515.948900000003</v>
      </c>
      <c r="H164" s="95">
        <f t="shared" si="35"/>
        <v>51050.095614000005</v>
      </c>
      <c r="I164" s="95">
        <f t="shared" si="35"/>
        <v>62536.367127150021</v>
      </c>
      <c r="J164" s="95">
        <f t="shared" si="35"/>
        <v>75043.640552580022</v>
      </c>
    </row>
    <row r="165" spans="1:10">
      <c r="A165" s="10"/>
      <c r="B165" s="10"/>
      <c r="C165" s="10"/>
      <c r="D165" s="10"/>
      <c r="E165" s="10"/>
      <c r="F165" s="10"/>
      <c r="G165" s="10"/>
      <c r="H165" s="10"/>
      <c r="I165" s="10"/>
      <c r="J165" s="10"/>
    </row>
    <row r="166" spans="1:10">
      <c r="A166" s="10"/>
      <c r="B166" s="10"/>
      <c r="C166" s="10"/>
      <c r="D166" s="10"/>
      <c r="E166" s="10"/>
      <c r="F166" s="10"/>
      <c r="G166" s="10"/>
      <c r="H166" s="10"/>
      <c r="I166" s="10"/>
      <c r="J166" s="10"/>
    </row>
    <row r="167" spans="1:10">
      <c r="A167" s="10"/>
      <c r="B167" s="10"/>
      <c r="C167" s="10"/>
      <c r="D167" s="10"/>
      <c r="E167" s="10"/>
      <c r="F167" s="10"/>
      <c r="G167" s="10"/>
      <c r="H167" s="10"/>
      <c r="I167" s="10"/>
      <c r="J167" s="10"/>
    </row>
    <row r="168" spans="1:10">
      <c r="A168" s="10"/>
      <c r="B168" s="10"/>
      <c r="C168" s="10"/>
      <c r="D168" s="10"/>
      <c r="E168" s="10"/>
      <c r="F168" s="10"/>
      <c r="G168" s="10"/>
      <c r="H168" s="10"/>
      <c r="I168" s="10"/>
      <c r="J168" s="10"/>
    </row>
    <row r="169" spans="1:10">
      <c r="A169" s="194" t="s">
        <v>341</v>
      </c>
      <c r="B169" s="95"/>
      <c r="C169" s="95"/>
      <c r="D169" s="95"/>
      <c r="E169" s="95">
        <f>'5.Closing Stock &amp; W Capital'!F7</f>
        <v>21932.14575</v>
      </c>
      <c r="F169" s="95">
        <f>'5.Closing Stock &amp; W Capital'!G7</f>
        <v>34543.129556250009</v>
      </c>
      <c r="G169" s="95">
        <f>'5.Closing Stock &amp; W Capital'!H7</f>
        <v>48360.381378749997</v>
      </c>
      <c r="H169" s="95">
        <f>'5.Closing Stock &amp; W Capital'!I7</f>
        <v>63473.000559609383</v>
      </c>
      <c r="I169" s="95">
        <f>'5.Closing Stock &amp; W Capital'!J7</f>
        <v>79975.980705107824</v>
      </c>
      <c r="J169" s="95">
        <f>'5.Closing Stock &amp; W Capital'!K7</f>
        <v>97970.576363757122</v>
      </c>
    </row>
    <row r="170" spans="1:10">
      <c r="A170" s="194" t="s">
        <v>342</v>
      </c>
      <c r="B170" s="95"/>
      <c r="C170" s="95"/>
      <c r="D170" s="95">
        <f>'5.Closing Stock &amp; W Capital'!E16</f>
        <v>21932.14575</v>
      </c>
      <c r="E170" s="95">
        <f>'5.Closing Stock &amp; W Capital'!F16</f>
        <v>34543.129556250009</v>
      </c>
      <c r="F170" s="95">
        <f>'5.Closing Stock &amp; W Capital'!G16</f>
        <v>48360.381378749997</v>
      </c>
      <c r="G170" s="95">
        <f>'5.Closing Stock &amp; W Capital'!H16</f>
        <v>63473.000559609383</v>
      </c>
      <c r="H170" s="95">
        <f>'5.Closing Stock &amp; W Capital'!I16</f>
        <v>79975.980705107824</v>
      </c>
      <c r="I170" s="95">
        <f>'5.Closing Stock &amp; W Capital'!J16</f>
        <v>97970.576363757122</v>
      </c>
      <c r="J170" s="95">
        <f>'5.Closing Stock &amp; W Capital'!K16</f>
        <v>117564.69163650851</v>
      </c>
    </row>
    <row r="171" spans="1:10">
      <c r="A171" s="95"/>
      <c r="B171" s="95"/>
      <c r="C171" s="95"/>
      <c r="D171" s="95"/>
      <c r="E171" s="95"/>
      <c r="F171" s="95"/>
      <c r="G171" s="95"/>
      <c r="H171" s="95"/>
      <c r="I171" s="95"/>
      <c r="J171" s="95"/>
    </row>
    <row r="172" spans="1:10">
      <c r="A172" s="114" t="s">
        <v>319</v>
      </c>
      <c r="B172" s="95"/>
      <c r="C172" s="95"/>
      <c r="D172" s="114">
        <f>SUM(D155:D169)-D170</f>
        <v>46897.898625000002</v>
      </c>
      <c r="E172" s="114">
        <f>SUM(E155:E169)-E170</f>
        <v>95796.336084375012</v>
      </c>
      <c r="F172" s="114">
        <f t="shared" ref="F172:J172" si="36">SUM(F155:F169)-F170</f>
        <v>137952.996024375</v>
      </c>
      <c r="G172" s="114">
        <f t="shared" si="36"/>
        <v>184085.83111816409</v>
      </c>
      <c r="H172" s="114">
        <f t="shared" si="36"/>
        <v>234487.0672312711</v>
      </c>
      <c r="I172" s="114">
        <f t="shared" si="36"/>
        <v>289468.21237789351</v>
      </c>
      <c r="J172" s="114">
        <f t="shared" si="36"/>
        <v>349361.25437109987</v>
      </c>
    </row>
    <row r="173" spans="1:10">
      <c r="A173" s="93"/>
      <c r="B173" s="93"/>
      <c r="C173" s="93"/>
      <c r="D173" s="93"/>
      <c r="E173" s="93"/>
      <c r="F173" s="93"/>
      <c r="G173" s="93"/>
      <c r="H173" s="93"/>
      <c r="I173" s="93"/>
      <c r="J173" s="93"/>
    </row>
    <row r="174" spans="1:10">
      <c r="A174" s="195" t="s">
        <v>310</v>
      </c>
      <c r="B174" s="195"/>
      <c r="C174" s="195"/>
      <c r="D174" s="114"/>
      <c r="E174" s="114"/>
      <c r="F174" s="114"/>
      <c r="G174" s="114"/>
      <c r="H174" s="114"/>
      <c r="I174" s="114"/>
      <c r="J174" s="114"/>
    </row>
    <row r="175" spans="1:10">
      <c r="A175" s="94" t="s">
        <v>186</v>
      </c>
      <c r="B175" s="229">
        <v>1</v>
      </c>
      <c r="C175" s="247">
        <v>10000</v>
      </c>
      <c r="D175" s="95">
        <f t="shared" ref="D175:J175" si="37">$B$175*$C$175*12*D133</f>
        <v>120000</v>
      </c>
      <c r="E175" s="95">
        <f t="shared" si="37"/>
        <v>126000</v>
      </c>
      <c r="F175" s="95">
        <f t="shared" si="37"/>
        <v>132300</v>
      </c>
      <c r="G175" s="95">
        <f t="shared" si="37"/>
        <v>138915.00000000003</v>
      </c>
      <c r="H175" s="95">
        <f t="shared" si="37"/>
        <v>145860.75000000003</v>
      </c>
      <c r="I175" s="95">
        <f t="shared" si="37"/>
        <v>153153.78750000003</v>
      </c>
      <c r="J175" s="95">
        <f t="shared" si="37"/>
        <v>160811.47687500005</v>
      </c>
    </row>
    <row r="176" spans="1:10">
      <c r="A176" s="94"/>
      <c r="B176" s="229"/>
      <c r="C176" s="247"/>
      <c r="D176" s="95"/>
      <c r="E176" s="95"/>
      <c r="F176" s="95"/>
      <c r="G176" s="95"/>
      <c r="H176" s="95"/>
      <c r="I176" s="95"/>
      <c r="J176" s="95"/>
    </row>
    <row r="177" spans="1:10">
      <c r="A177" s="94"/>
      <c r="B177" s="229"/>
      <c r="C177" s="247"/>
      <c r="D177" s="95"/>
      <c r="E177" s="95"/>
      <c r="F177" s="95"/>
      <c r="G177" s="95"/>
      <c r="H177" s="95"/>
      <c r="I177" s="95"/>
      <c r="J177" s="95"/>
    </row>
    <row r="178" spans="1:10">
      <c r="A178" s="94"/>
      <c r="B178" s="229"/>
      <c r="C178" s="247"/>
      <c r="D178" s="95"/>
      <c r="E178" s="95"/>
      <c r="F178" s="95"/>
      <c r="G178" s="95"/>
      <c r="H178" s="95"/>
      <c r="I178" s="95"/>
      <c r="J178" s="95"/>
    </row>
    <row r="179" spans="1:10">
      <c r="A179" s="94"/>
      <c r="B179" s="229"/>
      <c r="C179" s="247"/>
      <c r="D179" s="95"/>
      <c r="E179" s="95"/>
      <c r="F179" s="95"/>
      <c r="G179" s="95"/>
      <c r="H179" s="95"/>
      <c r="I179" s="95"/>
      <c r="J179" s="95"/>
    </row>
    <row r="180" spans="1:10">
      <c r="A180" s="96" t="s">
        <v>310</v>
      </c>
      <c r="B180" s="96"/>
      <c r="C180" s="96"/>
      <c r="D180" s="114">
        <f t="shared" ref="D180:J180" si="38">SUM(D175:D179)</f>
        <v>120000</v>
      </c>
      <c r="E180" s="114">
        <f t="shared" si="38"/>
        <v>126000</v>
      </c>
      <c r="F180" s="114">
        <f t="shared" si="38"/>
        <v>132300</v>
      </c>
      <c r="G180" s="114">
        <f t="shared" si="38"/>
        <v>138915.00000000003</v>
      </c>
      <c r="H180" s="114">
        <f t="shared" si="38"/>
        <v>145860.75000000003</v>
      </c>
      <c r="I180" s="114">
        <f t="shared" si="38"/>
        <v>153153.78750000003</v>
      </c>
      <c r="J180" s="114">
        <f t="shared" si="38"/>
        <v>160811.47687500005</v>
      </c>
    </row>
    <row r="181" spans="1:10">
      <c r="A181" s="195" t="s">
        <v>298</v>
      </c>
      <c r="B181" s="195"/>
      <c r="C181" s="195"/>
      <c r="D181" s="114">
        <f t="shared" ref="D181:J181" si="39">D172+D180</f>
        <v>166897.898625</v>
      </c>
      <c r="E181" s="114">
        <f t="shared" si="39"/>
        <v>221796.33608437501</v>
      </c>
      <c r="F181" s="114">
        <f t="shared" si="39"/>
        <v>270252.99602437497</v>
      </c>
      <c r="G181" s="114">
        <f t="shared" si="39"/>
        <v>323000.83111816412</v>
      </c>
      <c r="H181" s="114">
        <f t="shared" si="39"/>
        <v>380347.81723127112</v>
      </c>
      <c r="I181" s="114">
        <f t="shared" si="39"/>
        <v>442621.99987789354</v>
      </c>
      <c r="J181" s="114">
        <f t="shared" si="39"/>
        <v>510172.73124609992</v>
      </c>
    </row>
    <row r="182" spans="1:10">
      <c r="A182" s="94"/>
      <c r="B182" s="94"/>
      <c r="C182" s="94"/>
      <c r="D182" s="95"/>
      <c r="E182" s="95"/>
      <c r="F182" s="95"/>
      <c r="G182" s="95"/>
      <c r="H182" s="95"/>
      <c r="I182" s="95"/>
      <c r="J182" s="95"/>
    </row>
    <row r="183" spans="1:10">
      <c r="A183" s="96" t="s">
        <v>7</v>
      </c>
      <c r="B183" s="96"/>
      <c r="C183" s="96"/>
      <c r="D183" s="114">
        <f t="shared" ref="D183:J183" si="40">D151-D181</f>
        <v>302591.17537499999</v>
      </c>
      <c r="E183" s="114">
        <f t="shared" si="40"/>
        <v>538958.9322656251</v>
      </c>
      <c r="F183" s="114">
        <f t="shared" si="40"/>
        <v>798533.62560562498</v>
      </c>
      <c r="G183" s="114">
        <f t="shared" si="40"/>
        <v>1082718.390948961</v>
      </c>
      <c r="H183" s="114">
        <f t="shared" si="40"/>
        <v>1393325.2987626169</v>
      </c>
      <c r="I183" s="114">
        <f t="shared" si="40"/>
        <v>1732286.1013802656</v>
      </c>
      <c r="J183" s="114">
        <f t="shared" si="40"/>
        <v>2101659.6710127727</v>
      </c>
    </row>
    <row r="184" spans="1:10">
      <c r="A184" s="115"/>
      <c r="B184" s="115"/>
      <c r="C184" s="115"/>
      <c r="D184" s="93"/>
      <c r="E184" s="93"/>
      <c r="F184" s="93"/>
      <c r="G184" s="93"/>
      <c r="H184" s="93"/>
      <c r="I184" s="93"/>
      <c r="J184" s="93"/>
    </row>
    <row r="185" spans="1:10">
      <c r="A185" s="413" t="s">
        <v>423</v>
      </c>
      <c r="B185" s="413"/>
      <c r="C185" s="413"/>
      <c r="D185" s="413"/>
      <c r="E185" s="413"/>
      <c r="F185" s="413"/>
      <c r="G185" s="413"/>
      <c r="H185" s="413"/>
      <c r="I185" s="413"/>
      <c r="J185" s="413"/>
    </row>
    <row r="187" spans="1:10">
      <c r="A187" t="s">
        <v>536</v>
      </c>
    </row>
    <row r="188" spans="1:10">
      <c r="A188">
        <v>1</v>
      </c>
      <c r="B188" t="s">
        <v>547</v>
      </c>
    </row>
    <row r="189" spans="1:10">
      <c r="A189">
        <v>2</v>
      </c>
      <c r="B189" t="s">
        <v>548</v>
      </c>
    </row>
    <row r="190" spans="1:10">
      <c r="A190">
        <v>3</v>
      </c>
      <c r="B190" s="93" t="s">
        <v>588</v>
      </c>
    </row>
  </sheetData>
  <mergeCells count="4">
    <mergeCell ref="A131:J131"/>
    <mergeCell ref="A3:H3"/>
    <mergeCell ref="A185:J185"/>
    <mergeCell ref="A4:H4"/>
  </mergeCells>
  <pageMargins left="0.70866141732283472" right="0.70866141732283472" top="0.74803149606299213" bottom="0.74803149606299213" header="0.31496062992125984" footer="0.31496062992125984"/>
  <pageSetup paperSize="9" scale="53"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80" zoomScaleSheetLayoutView="80" workbookViewId="0">
      <selection activeCell="C1" sqref="C1"/>
    </sheetView>
  </sheetViews>
  <sheetFormatPr defaultRowHeight="15"/>
  <cols>
    <col min="1" max="1" width="30.42578125" bestFit="1" customWidth="1"/>
    <col min="2" max="2" width="11.85546875" customWidth="1"/>
    <col min="3" max="3" width="12.42578125" customWidth="1"/>
    <col min="4" max="4" width="15.42578125" customWidth="1"/>
    <col min="5" max="6" width="16" customWidth="1"/>
    <col min="7" max="7" width="15" customWidth="1"/>
    <col min="8" max="8" width="16.140625" customWidth="1"/>
    <col min="9" max="9" width="15.42578125" customWidth="1"/>
    <col min="10" max="10" width="15.28515625" customWidth="1"/>
  </cols>
  <sheetData>
    <row r="2" spans="1:10" ht="18.75">
      <c r="A2" s="484" t="s">
        <v>575</v>
      </c>
      <c r="B2" s="484"/>
      <c r="C2" s="484"/>
      <c r="D2" s="484"/>
      <c r="E2" s="484"/>
      <c r="F2" s="484"/>
      <c r="G2" s="484"/>
      <c r="H2" s="484"/>
    </row>
    <row r="3" spans="1:10" ht="18.75">
      <c r="A3" s="484" t="s">
        <v>576</v>
      </c>
      <c r="B3" s="484"/>
      <c r="C3" s="484"/>
      <c r="D3" s="484"/>
      <c r="E3" s="484"/>
      <c r="F3" s="484"/>
      <c r="G3" s="484"/>
      <c r="H3" s="484"/>
    </row>
    <row r="4" spans="1:10">
      <c r="A4" s="186" t="s">
        <v>159</v>
      </c>
      <c r="B4" s="251">
        <v>0</v>
      </c>
      <c r="C4" s="184" t="s">
        <v>299</v>
      </c>
      <c r="D4" s="184"/>
      <c r="E4" s="184"/>
      <c r="F4" s="184"/>
      <c r="G4" s="185"/>
      <c r="H4" s="93"/>
    </row>
    <row r="5" spans="1:10">
      <c r="A5" s="186"/>
      <c r="B5" s="187"/>
      <c r="C5" s="185"/>
      <c r="D5" s="185"/>
      <c r="E5" s="185"/>
      <c r="F5" s="185"/>
      <c r="G5" s="185"/>
      <c r="H5" s="93"/>
    </row>
    <row r="6" spans="1:10">
      <c r="A6" s="186" t="s">
        <v>301</v>
      </c>
      <c r="B6" s="188">
        <v>12</v>
      </c>
      <c r="C6" s="185"/>
      <c r="D6" s="188"/>
      <c r="E6" s="188"/>
      <c r="F6" s="185"/>
      <c r="G6" s="185"/>
      <c r="H6" s="93"/>
    </row>
    <row r="7" spans="1:10">
      <c r="A7" s="186"/>
      <c r="B7" s="93"/>
      <c r="C7" s="188"/>
      <c r="D7" s="188"/>
      <c r="E7" s="188"/>
      <c r="F7" s="185"/>
      <c r="G7" s="185"/>
      <c r="H7" s="93"/>
    </row>
    <row r="8" spans="1:10">
      <c r="A8" s="147" t="s">
        <v>128</v>
      </c>
      <c r="B8" s="119" t="s">
        <v>2</v>
      </c>
      <c r="C8" s="119" t="s">
        <v>3</v>
      </c>
      <c r="D8" s="119" t="s">
        <v>4</v>
      </c>
      <c r="E8" s="119" t="s">
        <v>5</v>
      </c>
      <c r="F8" s="119" t="s">
        <v>6</v>
      </c>
      <c r="G8" s="119" t="s">
        <v>167</v>
      </c>
      <c r="H8" s="119" t="s">
        <v>166</v>
      </c>
    </row>
    <row r="9" spans="1:10">
      <c r="A9" s="94" t="s">
        <v>302</v>
      </c>
      <c r="B9" s="266">
        <v>0.8</v>
      </c>
      <c r="C9" s="266">
        <f>B9+5%</f>
        <v>0.85000000000000009</v>
      </c>
      <c r="D9" s="266">
        <f>C9+5%</f>
        <v>0.90000000000000013</v>
      </c>
      <c r="E9" s="266">
        <f>D9+5%</f>
        <v>0.95000000000000018</v>
      </c>
      <c r="F9" s="266">
        <f>E9+5%</f>
        <v>1.0000000000000002</v>
      </c>
      <c r="G9" s="266">
        <f>F9</f>
        <v>1.0000000000000002</v>
      </c>
      <c r="H9" s="266">
        <f>G9</f>
        <v>1.0000000000000002</v>
      </c>
    </row>
    <row r="10" spans="1:10">
      <c r="A10" s="96" t="s">
        <v>320</v>
      </c>
      <c r="B10" s="190">
        <f t="shared" ref="B10:H10" si="0">$B$4*B9*$B$6</f>
        <v>0</v>
      </c>
      <c r="C10" s="190">
        <f t="shared" si="0"/>
        <v>0</v>
      </c>
      <c r="D10" s="190">
        <f t="shared" si="0"/>
        <v>0</v>
      </c>
      <c r="E10" s="190">
        <f t="shared" si="0"/>
        <v>0</v>
      </c>
      <c r="F10" s="190">
        <f t="shared" si="0"/>
        <v>0</v>
      </c>
      <c r="G10" s="190">
        <f t="shared" si="0"/>
        <v>0</v>
      </c>
      <c r="H10" s="190">
        <f t="shared" si="0"/>
        <v>0</v>
      </c>
    </row>
    <row r="15" spans="1:10" ht="18.75">
      <c r="A15" s="412" t="s">
        <v>577</v>
      </c>
      <c r="B15" s="412"/>
      <c r="C15" s="412"/>
      <c r="D15" s="412"/>
      <c r="E15" s="412"/>
      <c r="F15" s="412"/>
      <c r="G15" s="412"/>
      <c r="H15" s="412"/>
      <c r="I15" s="412"/>
      <c r="J15" s="412"/>
    </row>
    <row r="16" spans="1:10">
      <c r="A16" s="14"/>
      <c r="B16" s="62"/>
      <c r="C16" s="30"/>
      <c r="D16" s="14"/>
      <c r="E16" s="14"/>
      <c r="F16" s="14"/>
      <c r="G16" s="14"/>
      <c r="H16" s="14"/>
    </row>
    <row r="17" spans="1:10">
      <c r="A17" s="93"/>
      <c r="B17" s="93"/>
      <c r="C17" s="93"/>
      <c r="D17" s="178">
        <v>1</v>
      </c>
      <c r="E17" s="183">
        <f>(D17*5%)+D17</f>
        <v>1.05</v>
      </c>
      <c r="F17" s="183">
        <f t="shared" ref="F17:J17" si="1">(E17*5%)+E17</f>
        <v>1.1025</v>
      </c>
      <c r="G17" s="183">
        <f t="shared" si="1"/>
        <v>1.1576250000000001</v>
      </c>
      <c r="H17" s="183">
        <f t="shared" si="1"/>
        <v>1.2155062500000002</v>
      </c>
      <c r="I17" s="183">
        <f t="shared" si="1"/>
        <v>1.2762815625000004</v>
      </c>
      <c r="J17" s="183">
        <f t="shared" si="1"/>
        <v>1.3400956406250004</v>
      </c>
    </row>
    <row r="18" spans="1:10">
      <c r="A18" s="147" t="s">
        <v>0</v>
      </c>
      <c r="B18" s="147" t="s">
        <v>132</v>
      </c>
      <c r="C18" s="147" t="s">
        <v>151</v>
      </c>
      <c r="D18" s="119" t="s">
        <v>2</v>
      </c>
      <c r="E18" s="119" t="s">
        <v>3</v>
      </c>
      <c r="F18" s="119" t="s">
        <v>4</v>
      </c>
      <c r="G18" s="119" t="s">
        <v>5</v>
      </c>
      <c r="H18" s="119" t="s">
        <v>6</v>
      </c>
      <c r="I18" s="119" t="s">
        <v>167</v>
      </c>
      <c r="J18" s="119" t="s">
        <v>166</v>
      </c>
    </row>
    <row r="19" spans="1:10">
      <c r="A19" s="94"/>
      <c r="B19" s="94"/>
      <c r="C19" s="94"/>
      <c r="D19" s="94"/>
      <c r="E19" s="94"/>
      <c r="F19" s="94"/>
      <c r="G19" s="94"/>
      <c r="H19" s="94"/>
      <c r="I19" s="94"/>
      <c r="J19" s="94"/>
    </row>
    <row r="20" spans="1:10">
      <c r="A20" s="96" t="s">
        <v>175</v>
      </c>
      <c r="B20" s="96"/>
      <c r="C20" s="96"/>
      <c r="D20" s="94"/>
      <c r="E20" s="94"/>
      <c r="F20" s="94"/>
      <c r="G20" s="94"/>
      <c r="H20" s="94"/>
      <c r="I20" s="94"/>
      <c r="J20" s="94"/>
    </row>
    <row r="21" spans="1:10">
      <c r="A21" s="94" t="s">
        <v>322</v>
      </c>
      <c r="B21" s="94"/>
      <c r="C21" s="247">
        <v>200</v>
      </c>
      <c r="D21" s="95">
        <f t="shared" ref="D21:J21" si="2">B10*$C$21*D17</f>
        <v>0</v>
      </c>
      <c r="E21" s="95">
        <f t="shared" si="2"/>
        <v>0</v>
      </c>
      <c r="F21" s="95">
        <f t="shared" si="2"/>
        <v>0</v>
      </c>
      <c r="G21" s="95">
        <f t="shared" si="2"/>
        <v>0</v>
      </c>
      <c r="H21" s="95">
        <f t="shared" si="2"/>
        <v>0</v>
      </c>
      <c r="I21" s="95">
        <f t="shared" si="2"/>
        <v>0</v>
      </c>
      <c r="J21" s="95">
        <f t="shared" si="2"/>
        <v>0</v>
      </c>
    </row>
    <row r="22" spans="1:10">
      <c r="A22" s="94"/>
      <c r="B22" s="94"/>
      <c r="C22" s="95"/>
      <c r="D22" s="95"/>
      <c r="E22" s="95"/>
      <c r="F22" s="95"/>
      <c r="G22" s="95"/>
      <c r="H22" s="95"/>
      <c r="I22" s="95"/>
      <c r="J22" s="95"/>
    </row>
    <row r="23" spans="1:10">
      <c r="A23" s="96" t="s">
        <v>142</v>
      </c>
      <c r="B23" s="96"/>
      <c r="C23" s="114"/>
      <c r="D23" s="95">
        <f t="shared" ref="D23:J23" si="3">SUM(D21:D21)</f>
        <v>0</v>
      </c>
      <c r="E23" s="95">
        <f t="shared" si="3"/>
        <v>0</v>
      </c>
      <c r="F23" s="95">
        <f t="shared" si="3"/>
        <v>0</v>
      </c>
      <c r="G23" s="95">
        <f t="shared" si="3"/>
        <v>0</v>
      </c>
      <c r="H23" s="95">
        <f t="shared" si="3"/>
        <v>0</v>
      </c>
      <c r="I23" s="95">
        <f t="shared" si="3"/>
        <v>0</v>
      </c>
      <c r="J23" s="95">
        <f t="shared" si="3"/>
        <v>0</v>
      </c>
    </row>
    <row r="24" spans="1:10">
      <c r="A24" s="94"/>
      <c r="B24" s="94"/>
      <c r="C24" s="95"/>
      <c r="D24" s="95"/>
      <c r="E24" s="95"/>
      <c r="F24" s="95"/>
      <c r="G24" s="95"/>
      <c r="H24" s="95"/>
      <c r="I24" s="95"/>
      <c r="J24" s="95"/>
    </row>
    <row r="25" spans="1:10">
      <c r="A25" s="96" t="s">
        <v>141</v>
      </c>
      <c r="B25" s="96"/>
      <c r="C25" s="95"/>
      <c r="D25" s="95"/>
      <c r="E25" s="95"/>
      <c r="F25" s="95"/>
      <c r="G25" s="95"/>
      <c r="H25" s="95"/>
      <c r="I25" s="95"/>
      <c r="J25" s="95"/>
    </row>
    <row r="26" spans="1:10">
      <c r="A26" s="96" t="s">
        <v>312</v>
      </c>
      <c r="B26" s="96"/>
      <c r="C26" s="95"/>
      <c r="D26" s="95"/>
      <c r="E26" s="95"/>
      <c r="F26" s="95"/>
      <c r="G26" s="95"/>
      <c r="H26" s="95"/>
      <c r="I26" s="95"/>
      <c r="J26" s="95"/>
    </row>
    <row r="27" spans="1:10">
      <c r="A27" s="94" t="s">
        <v>303</v>
      </c>
      <c r="B27" s="229" t="s">
        <v>299</v>
      </c>
      <c r="C27" s="247">
        <v>2</v>
      </c>
      <c r="D27" s="95">
        <f t="shared" ref="D27:J27" si="4">$B$4*$C$27*D17*4</f>
        <v>0</v>
      </c>
      <c r="E27" s="95">
        <f t="shared" si="4"/>
        <v>0</v>
      </c>
      <c r="F27" s="95">
        <f t="shared" si="4"/>
        <v>0</v>
      </c>
      <c r="G27" s="95">
        <f t="shared" si="4"/>
        <v>0</v>
      </c>
      <c r="H27" s="95">
        <f t="shared" si="4"/>
        <v>0</v>
      </c>
      <c r="I27" s="95">
        <f t="shared" si="4"/>
        <v>0</v>
      </c>
      <c r="J27" s="95">
        <f t="shared" si="4"/>
        <v>0</v>
      </c>
    </row>
    <row r="28" spans="1:10">
      <c r="A28" s="94" t="s">
        <v>304</v>
      </c>
      <c r="B28" s="229" t="s">
        <v>299</v>
      </c>
      <c r="C28" s="247">
        <v>10</v>
      </c>
      <c r="D28" s="95">
        <f t="shared" ref="D28:J28" si="5">$B$4*$C$28*D17*12</f>
        <v>0</v>
      </c>
      <c r="E28" s="95">
        <f t="shared" si="5"/>
        <v>0</v>
      </c>
      <c r="F28" s="95">
        <f t="shared" si="5"/>
        <v>0</v>
      </c>
      <c r="G28" s="95">
        <f t="shared" si="5"/>
        <v>0</v>
      </c>
      <c r="H28" s="95">
        <f t="shared" si="5"/>
        <v>0</v>
      </c>
      <c r="I28" s="95">
        <f t="shared" si="5"/>
        <v>0</v>
      </c>
      <c r="J28" s="95">
        <f t="shared" si="5"/>
        <v>0</v>
      </c>
    </row>
    <row r="29" spans="1:10">
      <c r="A29" s="94" t="s">
        <v>305</v>
      </c>
      <c r="B29" s="229"/>
      <c r="C29" s="247">
        <v>0</v>
      </c>
      <c r="D29" s="95">
        <f>$C$29*12*D17</f>
        <v>0</v>
      </c>
      <c r="E29" s="95">
        <f t="shared" ref="E29:J29" si="6">$C$29*12*E17</f>
        <v>0</v>
      </c>
      <c r="F29" s="95">
        <f t="shared" si="6"/>
        <v>0</v>
      </c>
      <c r="G29" s="95">
        <f t="shared" si="6"/>
        <v>0</v>
      </c>
      <c r="H29" s="95">
        <f t="shared" si="6"/>
        <v>0</v>
      </c>
      <c r="I29" s="95">
        <f t="shared" si="6"/>
        <v>0</v>
      </c>
      <c r="J29" s="95">
        <f t="shared" si="6"/>
        <v>0</v>
      </c>
    </row>
    <row r="30" spans="1:10">
      <c r="A30" s="94"/>
      <c r="B30" s="229"/>
      <c r="C30" s="247"/>
      <c r="D30" s="95"/>
      <c r="E30" s="95"/>
      <c r="F30" s="95"/>
      <c r="G30" s="95"/>
      <c r="H30" s="95"/>
      <c r="I30" s="95"/>
      <c r="J30" s="95"/>
    </row>
    <row r="31" spans="1:10">
      <c r="A31" s="94"/>
      <c r="B31" s="229"/>
      <c r="C31" s="247"/>
      <c r="D31" s="95"/>
      <c r="E31" s="95"/>
      <c r="F31" s="95"/>
      <c r="G31" s="95"/>
      <c r="H31" s="95"/>
      <c r="I31" s="95"/>
      <c r="J31" s="95"/>
    </row>
    <row r="32" spans="1:10">
      <c r="A32" s="94"/>
      <c r="B32" s="229"/>
      <c r="C32" s="247"/>
      <c r="D32" s="95"/>
      <c r="E32" s="95"/>
      <c r="F32" s="95"/>
      <c r="G32" s="95"/>
      <c r="H32" s="95"/>
      <c r="I32" s="95"/>
      <c r="J32" s="95"/>
    </row>
    <row r="33" spans="1:10">
      <c r="A33" s="94"/>
      <c r="B33" s="229"/>
      <c r="C33" s="247"/>
      <c r="D33" s="95"/>
      <c r="E33" s="95"/>
      <c r="F33" s="95"/>
      <c r="G33" s="95"/>
      <c r="H33" s="95"/>
      <c r="I33" s="95"/>
      <c r="J33" s="95"/>
    </row>
    <row r="34" spans="1:10">
      <c r="A34" s="96" t="s">
        <v>319</v>
      </c>
      <c r="B34" s="234"/>
      <c r="C34" s="250"/>
      <c r="D34" s="114">
        <f>SUM(D27:D33)</f>
        <v>0</v>
      </c>
      <c r="E34" s="114">
        <f t="shared" ref="E34:J34" si="7">SUM(E27:E33)</f>
        <v>0</v>
      </c>
      <c r="F34" s="114">
        <f t="shared" si="7"/>
        <v>0</v>
      </c>
      <c r="G34" s="114">
        <f t="shared" si="7"/>
        <v>0</v>
      </c>
      <c r="H34" s="114">
        <f t="shared" si="7"/>
        <v>0</v>
      </c>
      <c r="I34" s="114">
        <f t="shared" si="7"/>
        <v>0</v>
      </c>
      <c r="J34" s="114">
        <f t="shared" si="7"/>
        <v>0</v>
      </c>
    </row>
    <row r="35" spans="1:10">
      <c r="A35" s="96"/>
      <c r="B35" s="234"/>
      <c r="C35" s="250"/>
      <c r="D35" s="114"/>
      <c r="E35" s="114"/>
      <c r="F35" s="114"/>
      <c r="G35" s="114"/>
      <c r="H35" s="114"/>
      <c r="I35" s="114"/>
      <c r="J35" s="114"/>
    </row>
    <row r="36" spans="1:10">
      <c r="A36" s="96" t="s">
        <v>310</v>
      </c>
      <c r="B36" s="229"/>
      <c r="C36" s="247"/>
      <c r="D36" s="95"/>
      <c r="E36" s="95"/>
      <c r="F36" s="95"/>
      <c r="G36" s="95"/>
      <c r="H36" s="95"/>
      <c r="I36" s="95"/>
      <c r="J36" s="95"/>
    </row>
    <row r="37" spans="1:10">
      <c r="A37" s="94" t="s">
        <v>321</v>
      </c>
      <c r="B37" s="229">
        <v>1</v>
      </c>
      <c r="C37" s="247">
        <v>0</v>
      </c>
      <c r="D37" s="95">
        <f>$B$37*$C$37*D17*12</f>
        <v>0</v>
      </c>
      <c r="E37" s="95">
        <f t="shared" ref="E37:J37" si="8">$B$37*$C$37*E17*12</f>
        <v>0</v>
      </c>
      <c r="F37" s="95">
        <f t="shared" si="8"/>
        <v>0</v>
      </c>
      <c r="G37" s="95">
        <f t="shared" si="8"/>
        <v>0</v>
      </c>
      <c r="H37" s="95">
        <f t="shared" si="8"/>
        <v>0</v>
      </c>
      <c r="I37" s="95">
        <f t="shared" si="8"/>
        <v>0</v>
      </c>
      <c r="J37" s="95">
        <f t="shared" si="8"/>
        <v>0</v>
      </c>
    </row>
    <row r="38" spans="1:10">
      <c r="A38" s="94"/>
      <c r="B38" s="229"/>
      <c r="C38" s="247"/>
      <c r="D38" s="95"/>
      <c r="E38" s="95"/>
      <c r="F38" s="95"/>
      <c r="G38" s="95"/>
      <c r="H38" s="95"/>
      <c r="I38" s="95"/>
      <c r="J38" s="95"/>
    </row>
    <row r="39" spans="1:10">
      <c r="A39" s="94"/>
      <c r="B39" s="229"/>
      <c r="C39" s="247"/>
      <c r="D39" s="95"/>
      <c r="E39" s="95"/>
      <c r="F39" s="95"/>
      <c r="G39" s="95"/>
      <c r="H39" s="95"/>
      <c r="I39" s="95"/>
      <c r="J39" s="95"/>
    </row>
    <row r="40" spans="1:10">
      <c r="A40" s="94"/>
      <c r="B40" s="229"/>
      <c r="C40" s="247"/>
      <c r="D40" s="95"/>
      <c r="E40" s="95"/>
      <c r="F40" s="95"/>
      <c r="G40" s="95"/>
      <c r="H40" s="95"/>
      <c r="I40" s="95"/>
      <c r="J40" s="95"/>
    </row>
    <row r="41" spans="1:10">
      <c r="A41" s="94"/>
      <c r="B41" s="229"/>
      <c r="C41" s="247"/>
      <c r="D41" s="95"/>
      <c r="E41" s="95"/>
      <c r="F41" s="95"/>
      <c r="G41" s="95"/>
      <c r="H41" s="95"/>
      <c r="I41" s="95"/>
      <c r="J41" s="95"/>
    </row>
    <row r="42" spans="1:10">
      <c r="A42" s="94"/>
      <c r="B42" s="229"/>
      <c r="C42" s="247"/>
      <c r="D42" s="95"/>
      <c r="E42" s="95"/>
      <c r="F42" s="95"/>
      <c r="G42" s="95"/>
      <c r="H42" s="95"/>
      <c r="I42" s="95"/>
      <c r="J42" s="95"/>
    </row>
    <row r="43" spans="1:10">
      <c r="A43" s="96" t="s">
        <v>323</v>
      </c>
      <c r="B43" s="96"/>
      <c r="C43" s="114"/>
      <c r="D43" s="114">
        <f>SUM(D37:D42)</f>
        <v>0</v>
      </c>
      <c r="E43" s="114">
        <f t="shared" ref="E43:J43" si="9">SUM(E37:E42)</f>
        <v>0</v>
      </c>
      <c r="F43" s="114">
        <f t="shared" si="9"/>
        <v>0</v>
      </c>
      <c r="G43" s="114">
        <f t="shared" si="9"/>
        <v>0</v>
      </c>
      <c r="H43" s="114">
        <f t="shared" si="9"/>
        <v>0</v>
      </c>
      <c r="I43" s="114">
        <f t="shared" si="9"/>
        <v>0</v>
      </c>
      <c r="J43" s="114">
        <f t="shared" si="9"/>
        <v>0</v>
      </c>
    </row>
    <row r="44" spans="1:10">
      <c r="A44" s="96"/>
      <c r="B44" s="96"/>
      <c r="C44" s="114"/>
      <c r="D44" s="114"/>
      <c r="E44" s="114"/>
      <c r="F44" s="114"/>
      <c r="G44" s="114"/>
      <c r="H44" s="114"/>
      <c r="I44" s="114"/>
      <c r="J44" s="114"/>
    </row>
    <row r="45" spans="1:10">
      <c r="A45" s="96" t="s">
        <v>129</v>
      </c>
      <c r="B45" s="96"/>
      <c r="C45" s="114"/>
      <c r="D45" s="114">
        <f>D34+D43</f>
        <v>0</v>
      </c>
      <c r="E45" s="114">
        <f t="shared" ref="E45:J45" si="10">E34+E43</f>
        <v>0</v>
      </c>
      <c r="F45" s="114">
        <f t="shared" si="10"/>
        <v>0</v>
      </c>
      <c r="G45" s="114">
        <f t="shared" si="10"/>
        <v>0</v>
      </c>
      <c r="H45" s="114">
        <f t="shared" si="10"/>
        <v>0</v>
      </c>
      <c r="I45" s="114">
        <f t="shared" si="10"/>
        <v>0</v>
      </c>
      <c r="J45" s="114">
        <f t="shared" si="10"/>
        <v>0</v>
      </c>
    </row>
    <row r="46" spans="1:10">
      <c r="A46" s="94"/>
      <c r="B46" s="94"/>
      <c r="C46" s="95"/>
      <c r="D46" s="95"/>
      <c r="E46" s="95"/>
      <c r="F46" s="95"/>
      <c r="G46" s="95"/>
      <c r="H46" s="95"/>
      <c r="I46" s="95"/>
      <c r="J46" s="95"/>
    </row>
    <row r="47" spans="1:10">
      <c r="A47" s="96" t="s">
        <v>687</v>
      </c>
      <c r="B47" s="96"/>
      <c r="C47" s="114"/>
      <c r="D47" s="114">
        <f t="shared" ref="D47:J47" si="11">D23-D45</f>
        <v>0</v>
      </c>
      <c r="E47" s="114">
        <f t="shared" si="11"/>
        <v>0</v>
      </c>
      <c r="F47" s="114">
        <f t="shared" si="11"/>
        <v>0</v>
      </c>
      <c r="G47" s="114">
        <f t="shared" si="11"/>
        <v>0</v>
      </c>
      <c r="H47" s="114">
        <f t="shared" si="11"/>
        <v>0</v>
      </c>
      <c r="I47" s="114">
        <f t="shared" si="11"/>
        <v>0</v>
      </c>
      <c r="J47" s="114">
        <f t="shared" si="11"/>
        <v>0</v>
      </c>
    </row>
    <row r="48" spans="1:10">
      <c r="A48" s="93"/>
      <c r="B48" s="93"/>
      <c r="C48" s="93"/>
      <c r="D48" s="93"/>
      <c r="E48" s="93"/>
      <c r="F48" s="93"/>
      <c r="G48" s="93"/>
      <c r="H48" s="93"/>
      <c r="I48" s="93"/>
      <c r="J48" s="93"/>
    </row>
    <row r="49" spans="1:10">
      <c r="A49" s="93"/>
    </row>
    <row r="51" spans="1:10">
      <c r="A51" s="413" t="s">
        <v>423</v>
      </c>
      <c r="B51" s="413"/>
      <c r="C51" s="413"/>
      <c r="D51" s="413"/>
      <c r="E51" s="413"/>
      <c r="F51" s="413"/>
      <c r="G51" s="413"/>
      <c r="H51" s="413"/>
      <c r="I51" s="413"/>
      <c r="J51" s="413"/>
    </row>
    <row r="53" spans="1:10">
      <c r="A53" t="s">
        <v>536</v>
      </c>
    </row>
    <row r="54" spans="1:10">
      <c r="A54">
        <v>1</v>
      </c>
      <c r="B54" t="s">
        <v>547</v>
      </c>
    </row>
    <row r="55" spans="1:10">
      <c r="A55">
        <v>2</v>
      </c>
      <c r="B55" t="s">
        <v>548</v>
      </c>
    </row>
    <row r="56" spans="1:10">
      <c r="A56">
        <v>3</v>
      </c>
      <c r="B56" s="93" t="s">
        <v>588</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zoomScale="80" zoomScaleSheetLayoutView="80" workbookViewId="0">
      <selection activeCell="E12" sqref="E12"/>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12" t="s">
        <v>578</v>
      </c>
      <c r="B3" s="412"/>
      <c r="C3" s="412"/>
      <c r="D3" s="412"/>
      <c r="E3" s="412"/>
      <c r="F3" s="412"/>
      <c r="G3" s="412"/>
      <c r="H3" s="412"/>
      <c r="I3" s="412"/>
      <c r="J3" s="412"/>
      <c r="K3" s="412"/>
      <c r="L3" s="412"/>
    </row>
    <row r="4" spans="1:13" ht="18.75">
      <c r="A4" s="412" t="s">
        <v>579</v>
      </c>
      <c r="B4" s="412"/>
      <c r="C4" s="412"/>
      <c r="D4" s="412"/>
      <c r="E4" s="412"/>
      <c r="F4" s="412"/>
      <c r="G4" s="412"/>
      <c r="H4" s="412"/>
      <c r="I4" s="412"/>
      <c r="J4" s="412"/>
      <c r="K4" s="412"/>
      <c r="L4" s="412"/>
    </row>
    <row r="5" spans="1:13">
      <c r="A5" s="93"/>
      <c r="B5" s="93"/>
      <c r="C5" s="93"/>
    </row>
    <row r="6" spans="1:13">
      <c r="A6" s="93"/>
      <c r="B6" s="93"/>
      <c r="C6" s="93"/>
    </row>
    <row r="7" spans="1:13" ht="45">
      <c r="A7" s="277" t="s">
        <v>144</v>
      </c>
      <c r="B7" s="278" t="s">
        <v>431</v>
      </c>
      <c r="C7" s="278" t="s">
        <v>439</v>
      </c>
      <c r="D7" s="278" t="s">
        <v>437</v>
      </c>
      <c r="E7" s="278" t="s">
        <v>438</v>
      </c>
      <c r="F7" s="278" t="s">
        <v>306</v>
      </c>
      <c r="G7" s="278" t="s">
        <v>440</v>
      </c>
      <c r="H7" s="278" t="s">
        <v>441</v>
      </c>
      <c r="I7" s="278" t="s">
        <v>442</v>
      </c>
      <c r="J7" s="280" t="s">
        <v>445</v>
      </c>
      <c r="K7" s="278" t="s">
        <v>443</v>
      </c>
      <c r="L7" s="280" t="s">
        <v>444</v>
      </c>
      <c r="M7" s="278" t="s">
        <v>447</v>
      </c>
    </row>
    <row r="8" spans="1:13">
      <c r="A8" s="279">
        <v>1</v>
      </c>
      <c r="B8" s="273" t="s">
        <v>432</v>
      </c>
      <c r="C8" s="273"/>
      <c r="D8" s="273"/>
      <c r="E8" s="273">
        <v>6</v>
      </c>
      <c r="F8" s="282">
        <f>D8*E8*C8</f>
        <v>0</v>
      </c>
      <c r="G8" s="273">
        <v>4</v>
      </c>
      <c r="H8" s="282">
        <f>F8/G8</f>
        <v>0</v>
      </c>
      <c r="I8" s="273">
        <v>12</v>
      </c>
      <c r="J8" s="282">
        <f>H8*I8</f>
        <v>0</v>
      </c>
      <c r="K8" s="273">
        <v>3000</v>
      </c>
      <c r="L8" s="273">
        <v>1</v>
      </c>
      <c r="M8" s="282">
        <f t="shared" ref="M8:M17" si="0">D8*L8</f>
        <v>0</v>
      </c>
    </row>
    <row r="9" spans="1:13">
      <c r="A9" s="279">
        <v>2</v>
      </c>
      <c r="B9" s="273" t="s">
        <v>433</v>
      </c>
      <c r="C9" s="273"/>
      <c r="D9" s="273"/>
      <c r="E9" s="273">
        <v>6</v>
      </c>
      <c r="F9" s="282">
        <f t="shared" ref="F9:F17" si="1">D9*E9*C9</f>
        <v>0</v>
      </c>
      <c r="G9" s="273">
        <v>2</v>
      </c>
      <c r="H9" s="282">
        <f>F9/G9</f>
        <v>0</v>
      </c>
      <c r="I9" s="273">
        <v>8</v>
      </c>
      <c r="J9" s="282">
        <f t="shared" ref="J9:J17" si="2">H9*I9</f>
        <v>0</v>
      </c>
      <c r="K9" s="273">
        <v>1800</v>
      </c>
      <c r="L9" s="273">
        <v>1</v>
      </c>
      <c r="M9" s="282">
        <f t="shared" si="0"/>
        <v>0</v>
      </c>
    </row>
    <row r="10" spans="1:13">
      <c r="A10" s="279">
        <v>3</v>
      </c>
      <c r="B10" s="273" t="s">
        <v>434</v>
      </c>
      <c r="C10" s="273"/>
      <c r="D10" s="273"/>
      <c r="E10" s="273">
        <v>6</v>
      </c>
      <c r="F10" s="282">
        <f t="shared" si="1"/>
        <v>0</v>
      </c>
      <c r="G10" s="273">
        <v>2</v>
      </c>
      <c r="H10" s="282">
        <f>F10/G10</f>
        <v>0</v>
      </c>
      <c r="I10" s="273">
        <v>8</v>
      </c>
      <c r="J10" s="282">
        <f t="shared" si="2"/>
        <v>0</v>
      </c>
      <c r="K10" s="273">
        <v>1800</v>
      </c>
      <c r="L10" s="273">
        <v>1</v>
      </c>
      <c r="M10" s="282">
        <f t="shared" si="0"/>
        <v>0</v>
      </c>
    </row>
    <row r="11" spans="1:13">
      <c r="A11" s="279">
        <v>4</v>
      </c>
      <c r="B11" s="273" t="s">
        <v>435</v>
      </c>
      <c r="C11" s="273"/>
      <c r="D11" s="273"/>
      <c r="E11" s="273">
        <v>6</v>
      </c>
      <c r="F11" s="282">
        <f t="shared" si="1"/>
        <v>0</v>
      </c>
      <c r="G11" s="273">
        <v>2</v>
      </c>
      <c r="H11" s="282">
        <f>F11/G11</f>
        <v>0</v>
      </c>
      <c r="I11" s="273">
        <v>4</v>
      </c>
      <c r="J11" s="282">
        <f t="shared" si="2"/>
        <v>0</v>
      </c>
      <c r="K11" s="273">
        <v>1200</v>
      </c>
      <c r="L11" s="273">
        <v>1</v>
      </c>
      <c r="M11" s="282">
        <f t="shared" si="0"/>
        <v>0</v>
      </c>
    </row>
    <row r="12" spans="1:13">
      <c r="A12" s="279">
        <v>5</v>
      </c>
      <c r="B12" s="273" t="s">
        <v>436</v>
      </c>
      <c r="C12" s="273"/>
      <c r="D12" s="273"/>
      <c r="E12" s="273">
        <v>6</v>
      </c>
      <c r="F12" s="282">
        <f t="shared" si="1"/>
        <v>0</v>
      </c>
      <c r="G12" s="273">
        <v>2</v>
      </c>
      <c r="H12" s="282">
        <f>F12/G12</f>
        <v>0</v>
      </c>
      <c r="I12" s="273">
        <v>10</v>
      </c>
      <c r="J12" s="282">
        <f t="shared" si="2"/>
        <v>0</v>
      </c>
      <c r="K12" s="273">
        <v>3000</v>
      </c>
      <c r="L12" s="273">
        <v>1</v>
      </c>
      <c r="M12" s="282">
        <f t="shared" si="0"/>
        <v>0</v>
      </c>
    </row>
    <row r="13" spans="1:13">
      <c r="A13" s="279">
        <v>6</v>
      </c>
      <c r="B13" s="10"/>
      <c r="C13" s="10"/>
      <c r="D13" s="10"/>
      <c r="E13" s="10"/>
      <c r="F13" s="282">
        <f t="shared" si="1"/>
        <v>0</v>
      </c>
      <c r="G13" s="10">
        <v>0</v>
      </c>
      <c r="H13" s="273"/>
      <c r="I13" s="10"/>
      <c r="J13" s="282">
        <f t="shared" si="2"/>
        <v>0</v>
      </c>
      <c r="K13" s="10"/>
      <c r="L13" s="282"/>
      <c r="M13" s="282">
        <f t="shared" si="0"/>
        <v>0</v>
      </c>
    </row>
    <row r="14" spans="1:13">
      <c r="A14" s="279">
        <v>7</v>
      </c>
      <c r="B14" s="10"/>
      <c r="C14" s="10"/>
      <c r="D14" s="10"/>
      <c r="E14" s="10"/>
      <c r="F14" s="282">
        <f t="shared" si="1"/>
        <v>0</v>
      </c>
      <c r="G14" s="10">
        <v>0</v>
      </c>
      <c r="H14" s="273"/>
      <c r="I14" s="10"/>
      <c r="J14" s="282">
        <f t="shared" si="2"/>
        <v>0</v>
      </c>
      <c r="K14" s="10"/>
      <c r="L14" s="282"/>
      <c r="M14" s="282">
        <f t="shared" si="0"/>
        <v>0</v>
      </c>
    </row>
    <row r="15" spans="1:13">
      <c r="A15" s="279">
        <v>8</v>
      </c>
      <c r="B15" s="10"/>
      <c r="C15" s="10"/>
      <c r="D15" s="10"/>
      <c r="E15" s="10"/>
      <c r="F15" s="282">
        <f t="shared" si="1"/>
        <v>0</v>
      </c>
      <c r="G15" s="10">
        <v>0</v>
      </c>
      <c r="H15" s="273"/>
      <c r="I15" s="10"/>
      <c r="J15" s="282">
        <f t="shared" si="2"/>
        <v>0</v>
      </c>
      <c r="K15" s="10"/>
      <c r="L15" s="282"/>
      <c r="M15" s="282">
        <f t="shared" si="0"/>
        <v>0</v>
      </c>
    </row>
    <row r="16" spans="1:13">
      <c r="A16" s="279">
        <v>9</v>
      </c>
      <c r="B16" s="10"/>
      <c r="C16" s="10"/>
      <c r="D16" s="10"/>
      <c r="E16" s="10"/>
      <c r="F16" s="282">
        <f t="shared" si="1"/>
        <v>0</v>
      </c>
      <c r="G16" s="10">
        <v>0</v>
      </c>
      <c r="H16" s="273"/>
      <c r="I16" s="10"/>
      <c r="J16" s="282">
        <f t="shared" si="2"/>
        <v>0</v>
      </c>
      <c r="K16" s="10"/>
      <c r="L16" s="282"/>
      <c r="M16" s="282">
        <f t="shared" si="0"/>
        <v>0</v>
      </c>
    </row>
    <row r="17" spans="1:16">
      <c r="A17" s="279">
        <v>10</v>
      </c>
      <c r="B17" s="10"/>
      <c r="C17" s="10"/>
      <c r="D17" s="10"/>
      <c r="E17" s="10"/>
      <c r="F17" s="282">
        <f t="shared" si="1"/>
        <v>0</v>
      </c>
      <c r="G17" s="10">
        <v>0</v>
      </c>
      <c r="H17" s="273"/>
      <c r="I17" s="10"/>
      <c r="J17" s="282">
        <f t="shared" si="2"/>
        <v>0</v>
      </c>
      <c r="K17" s="10"/>
      <c r="L17" s="282"/>
      <c r="M17" s="282">
        <f t="shared" si="0"/>
        <v>0</v>
      </c>
    </row>
    <row r="18" spans="1:16">
      <c r="A18" s="15"/>
      <c r="B18" s="15"/>
      <c r="C18" s="283"/>
      <c r="D18" s="283"/>
      <c r="E18" s="283"/>
      <c r="F18" s="283"/>
      <c r="G18" s="283"/>
      <c r="H18" s="283"/>
      <c r="I18" s="283"/>
      <c r="J18" s="283"/>
      <c r="K18" s="283"/>
      <c r="L18" s="283"/>
      <c r="M18" s="281"/>
    </row>
    <row r="19" spans="1:16">
      <c r="A19" s="15"/>
      <c r="B19" s="15"/>
      <c r="C19" s="283"/>
      <c r="D19" s="283"/>
      <c r="E19" s="283"/>
      <c r="F19" s="283"/>
      <c r="G19" s="283"/>
      <c r="H19" s="283"/>
      <c r="I19" s="283"/>
      <c r="J19" s="283"/>
      <c r="K19" s="283"/>
      <c r="L19" s="283"/>
      <c r="M19" s="281"/>
    </row>
    <row r="21" spans="1:16" ht="18.75">
      <c r="A21" s="412" t="s">
        <v>580</v>
      </c>
      <c r="B21" s="412"/>
      <c r="C21" s="412"/>
      <c r="D21" s="412"/>
      <c r="E21" s="412"/>
      <c r="F21" s="412"/>
      <c r="G21" s="412"/>
      <c r="H21" s="412"/>
      <c r="I21" s="412"/>
      <c r="J21" s="412"/>
      <c r="K21" s="412"/>
    </row>
    <row r="23" spans="1:16">
      <c r="A23" s="93"/>
      <c r="B23" s="93"/>
      <c r="C23" s="93"/>
      <c r="D23" s="93"/>
      <c r="E23" s="178">
        <v>1</v>
      </c>
      <c r="F23" s="183">
        <f>(E23*5%)+E23</f>
        <v>1.05</v>
      </c>
      <c r="G23" s="183">
        <f t="shared" ref="G23:K23" si="3">(F23*5%)+F23</f>
        <v>1.1025</v>
      </c>
      <c r="H23" s="183">
        <f t="shared" si="3"/>
        <v>1.1576250000000001</v>
      </c>
      <c r="I23" s="183">
        <f t="shared" si="3"/>
        <v>1.2155062500000002</v>
      </c>
      <c r="J23" s="183">
        <f t="shared" si="3"/>
        <v>1.2762815625000004</v>
      </c>
      <c r="K23" s="183">
        <f t="shared" si="3"/>
        <v>1.3400956406250004</v>
      </c>
    </row>
    <row r="24" spans="1:16">
      <c r="A24" s="147" t="s">
        <v>0</v>
      </c>
      <c r="B24" s="147" t="s">
        <v>132</v>
      </c>
      <c r="C24" s="147" t="s">
        <v>145</v>
      </c>
      <c r="D24" s="147" t="s">
        <v>151</v>
      </c>
      <c r="E24" s="119" t="s">
        <v>2</v>
      </c>
      <c r="F24" s="119" t="s">
        <v>3</v>
      </c>
      <c r="G24" s="119" t="s">
        <v>4</v>
      </c>
      <c r="H24" s="119" t="s">
        <v>5</v>
      </c>
      <c r="I24" s="119" t="s">
        <v>6</v>
      </c>
      <c r="J24" s="119" t="s">
        <v>167</v>
      </c>
      <c r="K24" s="119" t="s">
        <v>166</v>
      </c>
    </row>
    <row r="25" spans="1:16">
      <c r="A25" s="96"/>
      <c r="B25" s="96"/>
      <c r="C25" s="96"/>
      <c r="D25" s="96"/>
      <c r="E25" s="94"/>
      <c r="F25" s="94"/>
      <c r="G25" s="94"/>
      <c r="H25" s="94"/>
      <c r="I25" s="94"/>
      <c r="J25" s="94"/>
      <c r="K25" s="94"/>
    </row>
    <row r="26" spans="1:16">
      <c r="A26" s="96" t="s">
        <v>127</v>
      </c>
      <c r="B26" s="96"/>
      <c r="C26" s="96"/>
      <c r="D26" s="96"/>
      <c r="E26" s="94"/>
      <c r="F26" s="94"/>
      <c r="G26" s="94"/>
      <c r="H26" s="94"/>
      <c r="I26" s="94"/>
      <c r="J26" s="94"/>
      <c r="K26" s="94"/>
      <c r="P26" s="93"/>
    </row>
    <row r="27" spans="1:16">
      <c r="A27" s="195" t="s">
        <v>449</v>
      </c>
      <c r="B27" s="108"/>
      <c r="C27" s="284"/>
      <c r="D27" s="284"/>
      <c r="E27" s="95"/>
      <c r="F27" s="95"/>
      <c r="G27" s="95"/>
      <c r="H27" s="95"/>
      <c r="I27" s="95"/>
      <c r="J27" s="95"/>
      <c r="K27" s="95"/>
      <c r="P27" s="93"/>
    </row>
    <row r="28" spans="1:16">
      <c r="A28" s="108" t="str">
        <f>B8</f>
        <v>Double Plough</v>
      </c>
      <c r="B28" s="108"/>
      <c r="C28" s="284">
        <f>H8</f>
        <v>0</v>
      </c>
      <c r="D28" s="284">
        <f>K8</f>
        <v>3000</v>
      </c>
      <c r="E28" s="95">
        <f>$C$28*$D$28*E23</f>
        <v>0</v>
      </c>
      <c r="F28" s="95">
        <f t="shared" ref="F28:K28" si="4">$C$28*$D$28*F23</f>
        <v>0</v>
      </c>
      <c r="G28" s="95">
        <f t="shared" si="4"/>
        <v>0</v>
      </c>
      <c r="H28" s="95">
        <f t="shared" si="4"/>
        <v>0</v>
      </c>
      <c r="I28" s="95">
        <f t="shared" si="4"/>
        <v>0</v>
      </c>
      <c r="J28" s="95">
        <f t="shared" si="4"/>
        <v>0</v>
      </c>
      <c r="K28" s="95">
        <f t="shared" si="4"/>
        <v>0</v>
      </c>
      <c r="P28" s="93"/>
    </row>
    <row r="29" spans="1:16">
      <c r="A29" s="108" t="str">
        <f>B9</f>
        <v>Cultivator</v>
      </c>
      <c r="B29" s="108"/>
      <c r="C29" s="284">
        <f t="shared" ref="C29:C38" si="5">H9</f>
        <v>0</v>
      </c>
      <c r="D29" s="284">
        <f>K9</f>
        <v>1800</v>
      </c>
      <c r="E29" s="95">
        <f>$C$29*$D$29*E23</f>
        <v>0</v>
      </c>
      <c r="F29" s="95">
        <f t="shared" ref="F29:K29" si="6">$C$29*$D$29*F23</f>
        <v>0</v>
      </c>
      <c r="G29" s="95">
        <f t="shared" si="6"/>
        <v>0</v>
      </c>
      <c r="H29" s="95">
        <f t="shared" si="6"/>
        <v>0</v>
      </c>
      <c r="I29" s="95">
        <f t="shared" si="6"/>
        <v>0</v>
      </c>
      <c r="J29" s="95">
        <f t="shared" si="6"/>
        <v>0</v>
      </c>
      <c r="K29" s="95">
        <f t="shared" si="6"/>
        <v>0</v>
      </c>
      <c r="P29" s="93"/>
    </row>
    <row r="30" spans="1:16">
      <c r="A30" s="108" t="str">
        <f>B10</f>
        <v>Rotavator</v>
      </c>
      <c r="B30" s="108"/>
      <c r="C30" s="284">
        <f t="shared" si="5"/>
        <v>0</v>
      </c>
      <c r="D30" s="284">
        <f>K10</f>
        <v>1800</v>
      </c>
      <c r="E30" s="95">
        <f>$C$30*$D$30*E23</f>
        <v>0</v>
      </c>
      <c r="F30" s="95">
        <f t="shared" ref="F30:K30" si="7">$C$30*$D$30*F23</f>
        <v>0</v>
      </c>
      <c r="G30" s="95">
        <f t="shared" si="7"/>
        <v>0</v>
      </c>
      <c r="H30" s="95">
        <f t="shared" si="7"/>
        <v>0</v>
      </c>
      <c r="I30" s="95">
        <f t="shared" si="7"/>
        <v>0</v>
      </c>
      <c r="J30" s="95">
        <f t="shared" si="7"/>
        <v>0</v>
      </c>
      <c r="K30" s="95">
        <f t="shared" si="7"/>
        <v>0</v>
      </c>
      <c r="P30" s="93"/>
    </row>
    <row r="31" spans="1:16">
      <c r="A31" s="108" t="str">
        <f>B11</f>
        <v>BBF Seed Sowing Machine</v>
      </c>
      <c r="B31" s="108"/>
      <c r="C31" s="284">
        <f t="shared" si="5"/>
        <v>0</v>
      </c>
      <c r="D31" s="284">
        <f>K11</f>
        <v>1200</v>
      </c>
      <c r="E31" s="95">
        <f>$C$31*$D$31*E23</f>
        <v>0</v>
      </c>
      <c r="F31" s="95">
        <f t="shared" ref="F31:K31" si="8">$C$31*$D$31*F23</f>
        <v>0</v>
      </c>
      <c r="G31" s="95">
        <f t="shared" si="8"/>
        <v>0</v>
      </c>
      <c r="H31" s="95">
        <f t="shared" si="8"/>
        <v>0</v>
      </c>
      <c r="I31" s="95">
        <f t="shared" si="8"/>
        <v>0</v>
      </c>
      <c r="J31" s="95">
        <f t="shared" si="8"/>
        <v>0</v>
      </c>
      <c r="K31" s="95">
        <f t="shared" si="8"/>
        <v>0</v>
      </c>
      <c r="P31" s="93"/>
    </row>
    <row r="32" spans="1:16">
      <c r="A32" s="108" t="str">
        <f>B12</f>
        <v>Mobile Threshing</v>
      </c>
      <c r="B32" s="108"/>
      <c r="C32" s="284">
        <f t="shared" si="5"/>
        <v>0</v>
      </c>
      <c r="D32" s="284">
        <f>K12</f>
        <v>3000</v>
      </c>
      <c r="E32" s="95">
        <f>$C$32*$D$32*E23</f>
        <v>0</v>
      </c>
      <c r="F32" s="95">
        <f t="shared" ref="F32:K32" si="9">$C$32*$D$32*F23</f>
        <v>0</v>
      </c>
      <c r="G32" s="95">
        <f t="shared" si="9"/>
        <v>0</v>
      </c>
      <c r="H32" s="95">
        <f t="shared" si="9"/>
        <v>0</v>
      </c>
      <c r="I32" s="95">
        <f t="shared" si="9"/>
        <v>0</v>
      </c>
      <c r="J32" s="95">
        <f t="shared" si="9"/>
        <v>0</v>
      </c>
      <c r="K32" s="95">
        <f t="shared" si="9"/>
        <v>0</v>
      </c>
      <c r="P32" s="93"/>
    </row>
    <row r="33" spans="1:16">
      <c r="A33" s="108"/>
      <c r="B33" s="108"/>
      <c r="C33" s="284">
        <f t="shared" si="5"/>
        <v>0</v>
      </c>
      <c r="D33" s="284">
        <f t="shared" ref="D33:D38" si="10">K13</f>
        <v>0</v>
      </c>
      <c r="E33" s="95">
        <f>$C$33*$D$33*E23</f>
        <v>0</v>
      </c>
      <c r="F33" s="95">
        <f t="shared" ref="F33:K33" si="11">$C$33*$D$33*F23</f>
        <v>0</v>
      </c>
      <c r="G33" s="95">
        <f t="shared" si="11"/>
        <v>0</v>
      </c>
      <c r="H33" s="95">
        <f t="shared" si="11"/>
        <v>0</v>
      </c>
      <c r="I33" s="95">
        <f t="shared" si="11"/>
        <v>0</v>
      </c>
      <c r="J33" s="95">
        <f t="shared" si="11"/>
        <v>0</v>
      </c>
      <c r="K33" s="95">
        <f t="shared" si="11"/>
        <v>0</v>
      </c>
      <c r="P33" s="93"/>
    </row>
    <row r="34" spans="1:16">
      <c r="A34" s="108"/>
      <c r="B34" s="108"/>
      <c r="C34" s="284">
        <f t="shared" si="5"/>
        <v>0</v>
      </c>
      <c r="D34" s="284">
        <f t="shared" si="10"/>
        <v>0</v>
      </c>
      <c r="E34" s="95">
        <f>$C$34*$D$34*E23</f>
        <v>0</v>
      </c>
      <c r="F34" s="95">
        <f t="shared" ref="F34:K34" si="12">$C$34*$D$34*F23</f>
        <v>0</v>
      </c>
      <c r="G34" s="95">
        <f t="shared" si="12"/>
        <v>0</v>
      </c>
      <c r="H34" s="95">
        <f t="shared" si="12"/>
        <v>0</v>
      </c>
      <c r="I34" s="95">
        <f t="shared" si="12"/>
        <v>0</v>
      </c>
      <c r="J34" s="95">
        <f t="shared" si="12"/>
        <v>0</v>
      </c>
      <c r="K34" s="95">
        <f t="shared" si="12"/>
        <v>0</v>
      </c>
      <c r="P34" s="93"/>
    </row>
    <row r="35" spans="1:16">
      <c r="A35" s="108"/>
      <c r="B35" s="108"/>
      <c r="C35" s="284">
        <f t="shared" si="5"/>
        <v>0</v>
      </c>
      <c r="D35" s="284">
        <f t="shared" si="10"/>
        <v>0</v>
      </c>
      <c r="E35" s="95">
        <f>$C$35*$D$35*E23</f>
        <v>0</v>
      </c>
      <c r="F35" s="95">
        <f t="shared" ref="F35:K35" si="13">$C$35*$D$35*F23</f>
        <v>0</v>
      </c>
      <c r="G35" s="95">
        <f t="shared" si="13"/>
        <v>0</v>
      </c>
      <c r="H35" s="95">
        <f t="shared" si="13"/>
        <v>0</v>
      </c>
      <c r="I35" s="95">
        <f t="shared" si="13"/>
        <v>0</v>
      </c>
      <c r="J35" s="95">
        <f t="shared" si="13"/>
        <v>0</v>
      </c>
      <c r="K35" s="95">
        <f t="shared" si="13"/>
        <v>0</v>
      </c>
      <c r="P35" s="93"/>
    </row>
    <row r="36" spans="1:16">
      <c r="A36" s="108"/>
      <c r="B36" s="108"/>
      <c r="C36" s="284">
        <f t="shared" si="5"/>
        <v>0</v>
      </c>
      <c r="D36" s="284">
        <f t="shared" si="10"/>
        <v>0</v>
      </c>
      <c r="E36" s="95">
        <f>$C$36*$D$36*E23</f>
        <v>0</v>
      </c>
      <c r="F36" s="95">
        <f t="shared" ref="F36:K36" si="14">$C$36*$D$36*F23</f>
        <v>0</v>
      </c>
      <c r="G36" s="95">
        <f t="shared" si="14"/>
        <v>0</v>
      </c>
      <c r="H36" s="95">
        <f t="shared" si="14"/>
        <v>0</v>
      </c>
      <c r="I36" s="95">
        <f t="shared" si="14"/>
        <v>0</v>
      </c>
      <c r="J36" s="95">
        <f t="shared" si="14"/>
        <v>0</v>
      </c>
      <c r="K36" s="95">
        <f t="shared" si="14"/>
        <v>0</v>
      </c>
      <c r="P36" s="93"/>
    </row>
    <row r="37" spans="1:16">
      <c r="A37" s="108"/>
      <c r="B37" s="108"/>
      <c r="C37" s="284">
        <f t="shared" si="5"/>
        <v>0</v>
      </c>
      <c r="D37" s="284">
        <f t="shared" si="10"/>
        <v>0</v>
      </c>
      <c r="E37" s="95">
        <f>$C$37*$D$37*E23</f>
        <v>0</v>
      </c>
      <c r="F37" s="95">
        <f t="shared" ref="F37:K37" si="15">$C$37*$D$37*F23</f>
        <v>0</v>
      </c>
      <c r="G37" s="95">
        <f t="shared" si="15"/>
        <v>0</v>
      </c>
      <c r="H37" s="95">
        <f t="shared" si="15"/>
        <v>0</v>
      </c>
      <c r="I37" s="95">
        <f t="shared" si="15"/>
        <v>0</v>
      </c>
      <c r="J37" s="95">
        <f t="shared" si="15"/>
        <v>0</v>
      </c>
      <c r="K37" s="95">
        <f t="shared" si="15"/>
        <v>0</v>
      </c>
      <c r="P37" s="93"/>
    </row>
    <row r="38" spans="1:16">
      <c r="A38" s="96"/>
      <c r="B38" s="96"/>
      <c r="C38" s="284">
        <f t="shared" si="5"/>
        <v>0</v>
      </c>
      <c r="D38" s="284">
        <f t="shared" si="10"/>
        <v>0</v>
      </c>
      <c r="E38" s="95">
        <f>$C$38*$D$38*E23</f>
        <v>0</v>
      </c>
      <c r="F38" s="95">
        <f t="shared" ref="F38:K38" si="16">$C$38*$D$38*F23</f>
        <v>0</v>
      </c>
      <c r="G38" s="95">
        <f t="shared" si="16"/>
        <v>0</v>
      </c>
      <c r="H38" s="95">
        <f t="shared" si="16"/>
        <v>0</v>
      </c>
      <c r="I38" s="95">
        <f t="shared" si="16"/>
        <v>0</v>
      </c>
      <c r="J38" s="95">
        <f t="shared" si="16"/>
        <v>0</v>
      </c>
      <c r="K38" s="95">
        <f t="shared" si="16"/>
        <v>0</v>
      </c>
      <c r="P38" s="93"/>
    </row>
    <row r="39" spans="1:16">
      <c r="A39" s="96" t="s">
        <v>142</v>
      </c>
      <c r="B39" s="96"/>
      <c r="C39" s="100"/>
      <c r="D39" s="100"/>
      <c r="E39" s="95">
        <f>SUM(E28:E38)</f>
        <v>0</v>
      </c>
      <c r="F39" s="95">
        <f t="shared" ref="F39:K39" si="17">SUM(F28:F38)</f>
        <v>0</v>
      </c>
      <c r="G39" s="95">
        <f t="shared" si="17"/>
        <v>0</v>
      </c>
      <c r="H39" s="95">
        <f t="shared" si="17"/>
        <v>0</v>
      </c>
      <c r="I39" s="95">
        <f t="shared" si="17"/>
        <v>0</v>
      </c>
      <c r="J39" s="95">
        <f t="shared" si="17"/>
        <v>0</v>
      </c>
      <c r="K39" s="95">
        <f t="shared" si="17"/>
        <v>0</v>
      </c>
      <c r="P39" s="93"/>
    </row>
    <row r="40" spans="1:16">
      <c r="A40" s="94"/>
      <c r="B40" s="94"/>
      <c r="C40" s="98"/>
      <c r="D40" s="98"/>
      <c r="E40" s="95"/>
      <c r="F40" s="95"/>
      <c r="G40" s="95"/>
      <c r="H40" s="95"/>
      <c r="I40" s="95"/>
      <c r="J40" s="95"/>
      <c r="K40" s="95"/>
      <c r="P40" s="93"/>
    </row>
    <row r="41" spans="1:16">
      <c r="A41" s="96" t="s">
        <v>141</v>
      </c>
      <c r="B41" s="96"/>
      <c r="C41" s="100"/>
      <c r="D41" s="100"/>
      <c r="E41" s="95"/>
      <c r="F41" s="95"/>
      <c r="G41" s="95"/>
      <c r="H41" s="95"/>
      <c r="I41" s="95"/>
      <c r="J41" s="95"/>
      <c r="K41" s="95"/>
      <c r="P41" s="93"/>
    </row>
    <row r="42" spans="1:16">
      <c r="A42" s="96" t="s">
        <v>307</v>
      </c>
      <c r="B42" s="96"/>
      <c r="C42" s="100"/>
      <c r="D42" s="100"/>
      <c r="E42" s="95"/>
      <c r="F42" s="95"/>
      <c r="G42" s="95"/>
      <c r="H42" s="95"/>
      <c r="I42" s="95"/>
      <c r="J42" s="95"/>
      <c r="K42" s="95"/>
    </row>
    <row r="43" spans="1:16">
      <c r="A43" s="94" t="s">
        <v>308</v>
      </c>
      <c r="B43" s="94" t="s">
        <v>446</v>
      </c>
      <c r="C43" s="98">
        <f>SUM(J8:J17)</f>
        <v>0</v>
      </c>
      <c r="D43" s="229">
        <v>100</v>
      </c>
      <c r="E43" s="95">
        <f>$C$43*$D$43*E23</f>
        <v>0</v>
      </c>
      <c r="F43" s="95">
        <f t="shared" ref="F43:K43" si="18">$C$43*$D$43*F23</f>
        <v>0</v>
      </c>
      <c r="G43" s="95">
        <f t="shared" si="18"/>
        <v>0</v>
      </c>
      <c r="H43" s="95">
        <f t="shared" si="18"/>
        <v>0</v>
      </c>
      <c r="I43" s="95">
        <f t="shared" si="18"/>
        <v>0</v>
      </c>
      <c r="J43" s="95">
        <f t="shared" si="18"/>
        <v>0</v>
      </c>
      <c r="K43" s="95">
        <f t="shared" si="18"/>
        <v>0</v>
      </c>
    </row>
    <row r="44" spans="1:16">
      <c r="A44" s="94" t="s">
        <v>309</v>
      </c>
      <c r="B44" s="94" t="s">
        <v>448</v>
      </c>
      <c r="C44" s="98">
        <f>SUM(M8:M17)</f>
        <v>0</v>
      </c>
      <c r="D44" s="229">
        <v>300</v>
      </c>
      <c r="E44" s="95">
        <f>$C$44*$D$44*E23</f>
        <v>0</v>
      </c>
      <c r="F44" s="95">
        <f t="shared" ref="F44:K44" si="19">$C$44*$D$44*F23</f>
        <v>0</v>
      </c>
      <c r="G44" s="95">
        <f t="shared" si="19"/>
        <v>0</v>
      </c>
      <c r="H44" s="95">
        <f t="shared" si="19"/>
        <v>0</v>
      </c>
      <c r="I44" s="95">
        <f t="shared" si="19"/>
        <v>0</v>
      </c>
      <c r="J44" s="95">
        <f t="shared" si="19"/>
        <v>0</v>
      </c>
      <c r="K44" s="95">
        <f t="shared" si="19"/>
        <v>0</v>
      </c>
    </row>
    <row r="45" spans="1:16">
      <c r="A45" s="94"/>
      <c r="B45" s="94"/>
      <c r="C45" s="229"/>
      <c r="D45" s="229"/>
      <c r="E45" s="95"/>
      <c r="F45" s="95"/>
      <c r="G45" s="95"/>
      <c r="H45" s="95"/>
      <c r="I45" s="95"/>
      <c r="J45" s="95"/>
      <c r="K45" s="95"/>
    </row>
    <row r="46" spans="1:16">
      <c r="A46" s="94"/>
      <c r="B46" s="94"/>
      <c r="C46" s="229"/>
      <c r="D46" s="229"/>
      <c r="E46" s="95"/>
      <c r="F46" s="95"/>
      <c r="G46" s="95"/>
      <c r="H46" s="95"/>
      <c r="I46" s="95"/>
      <c r="J46" s="95"/>
      <c r="K46" s="95"/>
    </row>
    <row r="47" spans="1:16">
      <c r="A47" s="94"/>
      <c r="B47" s="94"/>
      <c r="C47" s="229"/>
      <c r="D47" s="229"/>
      <c r="E47" s="95"/>
      <c r="F47" s="95"/>
      <c r="G47" s="95"/>
      <c r="H47" s="95"/>
      <c r="I47" s="95"/>
      <c r="J47" s="95"/>
      <c r="K47" s="95"/>
    </row>
    <row r="48" spans="1:16">
      <c r="A48" s="94"/>
      <c r="B48" s="94"/>
      <c r="C48" s="229"/>
      <c r="D48" s="229"/>
      <c r="E48" s="95"/>
      <c r="F48" s="95"/>
      <c r="G48" s="95"/>
      <c r="H48" s="95"/>
      <c r="I48" s="95"/>
      <c r="J48" s="95"/>
      <c r="K48" s="95"/>
    </row>
    <row r="49" spans="1:12">
      <c r="A49" s="96" t="s">
        <v>319</v>
      </c>
      <c r="B49" s="96"/>
      <c r="C49" s="234"/>
      <c r="D49" s="234"/>
      <c r="E49" s="114">
        <f>SUM(E43:E48)</f>
        <v>0</v>
      </c>
      <c r="F49" s="114">
        <f t="shared" ref="F49:K49" si="20">SUM(F43:F48)</f>
        <v>0</v>
      </c>
      <c r="G49" s="114">
        <f t="shared" si="20"/>
        <v>0</v>
      </c>
      <c r="H49" s="114">
        <f t="shared" si="20"/>
        <v>0</v>
      </c>
      <c r="I49" s="114">
        <f t="shared" si="20"/>
        <v>0</v>
      </c>
      <c r="J49" s="114">
        <f t="shared" si="20"/>
        <v>0</v>
      </c>
      <c r="K49" s="114">
        <f t="shared" si="20"/>
        <v>0</v>
      </c>
    </row>
    <row r="50" spans="1:12">
      <c r="A50" s="96"/>
      <c r="B50" s="96"/>
      <c r="C50" s="234"/>
      <c r="D50" s="234"/>
      <c r="E50" s="114"/>
      <c r="F50" s="114"/>
      <c r="G50" s="114"/>
      <c r="H50" s="114"/>
      <c r="I50" s="114"/>
      <c r="J50" s="114"/>
      <c r="K50" s="114"/>
    </row>
    <row r="51" spans="1:12">
      <c r="A51" s="195" t="s">
        <v>310</v>
      </c>
      <c r="B51" s="195"/>
      <c r="C51" s="248"/>
      <c r="D51" s="248"/>
      <c r="E51" s="95"/>
      <c r="F51" s="95"/>
      <c r="G51" s="95"/>
      <c r="H51" s="95"/>
      <c r="I51" s="95"/>
      <c r="J51" s="95"/>
      <c r="K51" s="95"/>
    </row>
    <row r="52" spans="1:12">
      <c r="A52" s="108" t="s">
        <v>311</v>
      </c>
      <c r="B52" s="94" t="s">
        <v>390</v>
      </c>
      <c r="C52" s="248">
        <v>1</v>
      </c>
      <c r="D52" s="249"/>
      <c r="E52" s="95">
        <f t="shared" ref="E52:K52" si="21">$C$52*$D$52*12*E23</f>
        <v>0</v>
      </c>
      <c r="F52" s="95">
        <f t="shared" si="21"/>
        <v>0</v>
      </c>
      <c r="G52" s="95">
        <f t="shared" si="21"/>
        <v>0</v>
      </c>
      <c r="H52" s="95">
        <f t="shared" si="21"/>
        <v>0</v>
      </c>
      <c r="I52" s="95">
        <f t="shared" si="21"/>
        <v>0</v>
      </c>
      <c r="J52" s="95">
        <f t="shared" si="21"/>
        <v>0</v>
      </c>
      <c r="K52" s="95">
        <f t="shared" si="21"/>
        <v>0</v>
      </c>
    </row>
    <row r="53" spans="1:12">
      <c r="A53" s="108"/>
      <c r="B53" s="108"/>
      <c r="C53" s="248"/>
      <c r="D53" s="249"/>
      <c r="E53" s="95"/>
      <c r="F53" s="95"/>
      <c r="G53" s="95"/>
      <c r="H53" s="95"/>
      <c r="I53" s="95"/>
      <c r="J53" s="95"/>
      <c r="K53" s="95"/>
    </row>
    <row r="54" spans="1:12">
      <c r="A54" s="108"/>
      <c r="B54" s="108"/>
      <c r="C54" s="248"/>
      <c r="D54" s="249"/>
      <c r="E54" s="95"/>
      <c r="F54" s="95"/>
      <c r="G54" s="95"/>
      <c r="H54" s="95"/>
      <c r="I54" s="95"/>
      <c r="J54" s="95"/>
      <c r="K54" s="95"/>
    </row>
    <row r="55" spans="1:12">
      <c r="A55" s="108"/>
      <c r="B55" s="108"/>
      <c r="C55" s="248"/>
      <c r="D55" s="249"/>
      <c r="E55" s="95"/>
      <c r="F55" s="95"/>
      <c r="G55" s="95"/>
      <c r="H55" s="95"/>
      <c r="I55" s="95"/>
      <c r="J55" s="95"/>
      <c r="K55" s="95"/>
    </row>
    <row r="56" spans="1:12">
      <c r="A56" s="96" t="s">
        <v>323</v>
      </c>
      <c r="B56" s="96"/>
      <c r="C56" s="96"/>
      <c r="D56" s="96"/>
      <c r="E56" s="114">
        <f>SUM(E52:E55)</f>
        <v>0</v>
      </c>
      <c r="F56" s="114">
        <f t="shared" ref="F56:K56" si="22">SUM(F52:F55)</f>
        <v>0</v>
      </c>
      <c r="G56" s="114">
        <f t="shared" si="22"/>
        <v>0</v>
      </c>
      <c r="H56" s="114">
        <f t="shared" si="22"/>
        <v>0</v>
      </c>
      <c r="I56" s="114">
        <f t="shared" si="22"/>
        <v>0</v>
      </c>
      <c r="J56" s="114">
        <f t="shared" si="22"/>
        <v>0</v>
      </c>
      <c r="K56" s="114">
        <f t="shared" si="22"/>
        <v>0</v>
      </c>
    </row>
    <row r="57" spans="1:12">
      <c r="A57" s="96" t="s">
        <v>129</v>
      </c>
      <c r="B57" s="96"/>
      <c r="C57" s="96"/>
      <c r="D57" s="96"/>
      <c r="E57" s="114">
        <f>E49+E56</f>
        <v>0</v>
      </c>
      <c r="F57" s="114">
        <f t="shared" ref="F57:K57" si="23">F49+F56</f>
        <v>0</v>
      </c>
      <c r="G57" s="114">
        <f t="shared" si="23"/>
        <v>0</v>
      </c>
      <c r="H57" s="114">
        <f t="shared" si="23"/>
        <v>0</v>
      </c>
      <c r="I57" s="114">
        <f t="shared" si="23"/>
        <v>0</v>
      </c>
      <c r="J57" s="114">
        <f t="shared" si="23"/>
        <v>0</v>
      </c>
      <c r="K57" s="114">
        <f t="shared" si="23"/>
        <v>0</v>
      </c>
    </row>
    <row r="58" spans="1:12">
      <c r="A58" s="94"/>
      <c r="B58" s="94"/>
      <c r="C58" s="94"/>
      <c r="D58" s="94"/>
      <c r="E58" s="95"/>
      <c r="F58" s="95"/>
      <c r="G58" s="95"/>
      <c r="H58" s="95"/>
      <c r="I58" s="95"/>
      <c r="J58" s="95"/>
      <c r="K58" s="95"/>
    </row>
    <row r="59" spans="1:12">
      <c r="A59" s="96" t="s">
        <v>313</v>
      </c>
      <c r="B59" s="96"/>
      <c r="C59" s="96"/>
      <c r="D59" s="96"/>
      <c r="E59" s="114">
        <f t="shared" ref="E59:K59" si="24">E39-E57</f>
        <v>0</v>
      </c>
      <c r="F59" s="114">
        <f t="shared" si="24"/>
        <v>0</v>
      </c>
      <c r="G59" s="114">
        <f t="shared" si="24"/>
        <v>0</v>
      </c>
      <c r="H59" s="114">
        <f t="shared" si="24"/>
        <v>0</v>
      </c>
      <c r="I59" s="114">
        <f t="shared" si="24"/>
        <v>0</v>
      </c>
      <c r="J59" s="114">
        <f t="shared" si="24"/>
        <v>0</v>
      </c>
      <c r="K59" s="114">
        <f t="shared" si="24"/>
        <v>0</v>
      </c>
    </row>
    <row r="60" spans="1:12">
      <c r="A60" s="260"/>
      <c r="B60" s="260"/>
      <c r="C60" s="260"/>
      <c r="D60" s="260"/>
      <c r="E60" s="261"/>
      <c r="F60" s="261"/>
      <c r="G60" s="261"/>
      <c r="H60" s="261"/>
      <c r="I60" s="261"/>
      <c r="J60" s="261"/>
      <c r="K60" s="261"/>
    </row>
    <row r="61" spans="1:12">
      <c r="A61" s="93"/>
      <c r="B61" s="93"/>
      <c r="C61" s="260"/>
      <c r="D61" s="260"/>
      <c r="E61" s="261"/>
      <c r="F61" s="261"/>
      <c r="G61" s="261"/>
      <c r="H61" s="261"/>
      <c r="I61" s="261"/>
      <c r="J61" s="261"/>
      <c r="K61" s="261"/>
    </row>
    <row r="62" spans="1:12">
      <c r="A62" s="413" t="s">
        <v>421</v>
      </c>
      <c r="B62" s="413"/>
      <c r="C62" s="413"/>
      <c r="D62" s="413"/>
      <c r="E62" s="413"/>
      <c r="F62" s="413"/>
      <c r="G62" s="413"/>
      <c r="H62" s="413"/>
      <c r="I62" s="413"/>
      <c r="J62" s="413"/>
      <c r="K62" s="413"/>
      <c r="L62" s="413"/>
    </row>
    <row r="65" spans="1:2">
      <c r="A65" t="s">
        <v>536</v>
      </c>
    </row>
    <row r="66" spans="1:2">
      <c r="A66">
        <v>1</v>
      </c>
      <c r="B66" t="s">
        <v>547</v>
      </c>
    </row>
    <row r="67" spans="1:2">
      <c r="A67">
        <v>2</v>
      </c>
      <c r="B67" t="s">
        <v>548</v>
      </c>
    </row>
    <row r="68" spans="1:2">
      <c r="A68">
        <v>3</v>
      </c>
      <c r="B68" s="93" t="s">
        <v>588</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80" zoomScaleSheetLayoutView="80" workbookViewId="0">
      <selection activeCell="D1" sqref="D1"/>
    </sheetView>
  </sheetViews>
  <sheetFormatPr defaultRowHeight="15"/>
  <cols>
    <col min="1" max="1" width="41.140625" bestFit="1" customWidth="1"/>
    <col min="2" max="2" width="4.42578125" bestFit="1" customWidth="1"/>
    <col min="3" max="3" width="13.140625"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12" t="s">
        <v>581</v>
      </c>
      <c r="B2" s="412"/>
      <c r="C2" s="412"/>
      <c r="D2" s="412"/>
      <c r="E2" s="412"/>
      <c r="F2" s="412"/>
      <c r="G2" s="412"/>
      <c r="H2" s="412"/>
      <c r="I2" s="412"/>
    </row>
    <row r="4" spans="1:9">
      <c r="A4" s="93"/>
      <c r="B4" s="93"/>
      <c r="C4" s="93"/>
      <c r="D4" s="93"/>
      <c r="E4" s="93"/>
      <c r="F4" s="93"/>
      <c r="G4" s="93"/>
      <c r="H4" s="93"/>
      <c r="I4" s="93"/>
    </row>
    <row r="5" spans="1:9">
      <c r="A5" s="93"/>
      <c r="B5" s="93"/>
      <c r="C5" s="93"/>
      <c r="D5" s="93"/>
      <c r="E5" s="93"/>
      <c r="F5" s="93"/>
      <c r="G5" s="93"/>
      <c r="H5" s="93"/>
      <c r="I5" s="93"/>
    </row>
    <row r="6" spans="1:9">
      <c r="A6" s="147" t="s">
        <v>128</v>
      </c>
      <c r="B6" s="147"/>
      <c r="C6" s="119" t="s">
        <v>2</v>
      </c>
      <c r="D6" s="119" t="s">
        <v>3</v>
      </c>
      <c r="E6" s="119" t="s">
        <v>4</v>
      </c>
      <c r="F6" s="119" t="s">
        <v>5</v>
      </c>
      <c r="G6" s="119" t="s">
        <v>6</v>
      </c>
      <c r="H6" s="119" t="s">
        <v>167</v>
      </c>
      <c r="I6" s="119" t="s">
        <v>166</v>
      </c>
    </row>
    <row r="7" spans="1:9">
      <c r="A7" s="100" t="s">
        <v>549</v>
      </c>
      <c r="B7" s="98"/>
      <c r="C7" s="98"/>
      <c r="D7" s="98"/>
      <c r="E7" s="98"/>
      <c r="F7" s="98"/>
      <c r="G7" s="98"/>
      <c r="H7" s="98"/>
      <c r="I7" s="98"/>
    </row>
    <row r="8" spans="1:9">
      <c r="A8" s="100" t="s">
        <v>176</v>
      </c>
      <c r="B8" s="204"/>
      <c r="C8" s="204"/>
      <c r="D8" s="204"/>
      <c r="E8" s="204"/>
      <c r="F8" s="204"/>
      <c r="G8" s="204"/>
      <c r="H8" s="204"/>
      <c r="I8" s="204"/>
    </row>
    <row r="9" spans="1:9">
      <c r="A9" s="98" t="str">
        <f>'10.Grain Production details'!A92</f>
        <v>Soybean</v>
      </c>
      <c r="B9" s="204"/>
      <c r="C9" s="204">
        <f>'10.Grain Production details'!B92</f>
        <v>292.5</v>
      </c>
      <c r="D9" s="204">
        <f>'10.Grain Production details'!C92</f>
        <v>315.00000000000006</v>
      </c>
      <c r="E9" s="204">
        <f>'10.Grain Production details'!D92</f>
        <v>337.50000000000011</v>
      </c>
      <c r="F9" s="204">
        <f>'10.Grain Production details'!E92</f>
        <v>360.00000000000011</v>
      </c>
      <c r="G9" s="204">
        <f>'10.Grain Production details'!F92</f>
        <v>382.50000000000011</v>
      </c>
      <c r="H9" s="204">
        <f>'10.Grain Production details'!G92</f>
        <v>405.00000000000011</v>
      </c>
      <c r="I9" s="204">
        <f>'10.Grain Production details'!H92</f>
        <v>427.50000000000011</v>
      </c>
    </row>
    <row r="10" spans="1:9">
      <c r="A10" s="98" t="str">
        <f>'10.Grain Production details'!A93</f>
        <v>Tur</v>
      </c>
      <c r="B10" s="204"/>
      <c r="C10" s="204">
        <f>'10.Grain Production details'!B93</f>
        <v>32.5</v>
      </c>
      <c r="D10" s="204">
        <f>'10.Grain Production details'!C93</f>
        <v>35</v>
      </c>
      <c r="E10" s="204">
        <f>'10.Grain Production details'!D93</f>
        <v>37.5</v>
      </c>
      <c r="F10" s="204">
        <f>'10.Grain Production details'!E93</f>
        <v>40</v>
      </c>
      <c r="G10" s="204">
        <f>'10.Grain Production details'!F93</f>
        <v>42.500000000000007</v>
      </c>
      <c r="H10" s="204">
        <f>'10.Grain Production details'!G93</f>
        <v>45.000000000000014</v>
      </c>
      <c r="I10" s="204">
        <f>'10.Grain Production details'!H93</f>
        <v>47.500000000000014</v>
      </c>
    </row>
    <row r="11" spans="1:9">
      <c r="A11" s="98" t="str">
        <f>'10.Grain Production details'!A94</f>
        <v>Turmeric</v>
      </c>
      <c r="B11" s="204"/>
      <c r="C11" s="204">
        <f>'10.Grain Production details'!B94</f>
        <v>227.5</v>
      </c>
      <c r="D11" s="204">
        <f>'10.Grain Production details'!C94</f>
        <v>245.00000000000003</v>
      </c>
      <c r="E11" s="204">
        <f>'10.Grain Production details'!D94</f>
        <v>262.50000000000006</v>
      </c>
      <c r="F11" s="204">
        <f>'10.Grain Production details'!E94</f>
        <v>280.00000000000006</v>
      </c>
      <c r="G11" s="204">
        <f>'10.Grain Production details'!F94</f>
        <v>297.50000000000006</v>
      </c>
      <c r="H11" s="204">
        <f>'10.Grain Production details'!G94</f>
        <v>315.00000000000011</v>
      </c>
      <c r="I11" s="204">
        <f>'10.Grain Production details'!H94</f>
        <v>332.50000000000017</v>
      </c>
    </row>
    <row r="12" spans="1:9">
      <c r="A12" s="98" t="str">
        <f>'10.Grain Production details'!A95</f>
        <v>Moong</v>
      </c>
      <c r="B12" s="204"/>
      <c r="C12" s="204">
        <f>'10.Grain Production details'!B95</f>
        <v>32.5</v>
      </c>
      <c r="D12" s="204">
        <f>'10.Grain Production details'!C95</f>
        <v>35</v>
      </c>
      <c r="E12" s="204">
        <f>'10.Grain Production details'!D95</f>
        <v>37.5</v>
      </c>
      <c r="F12" s="204">
        <f>'10.Grain Production details'!E95</f>
        <v>40</v>
      </c>
      <c r="G12" s="204">
        <f>'10.Grain Production details'!F95</f>
        <v>42.500000000000007</v>
      </c>
      <c r="H12" s="204">
        <f>'10.Grain Production details'!G95</f>
        <v>45.000000000000014</v>
      </c>
      <c r="I12" s="204">
        <f>'10.Grain Production details'!H95</f>
        <v>47.500000000000014</v>
      </c>
    </row>
    <row r="13" spans="1:9">
      <c r="A13" s="98" t="str">
        <f>'10.Grain Production details'!A96</f>
        <v>Maize</v>
      </c>
      <c r="B13" s="204"/>
      <c r="C13" s="204">
        <f>'10.Grain Production details'!B96</f>
        <v>0</v>
      </c>
      <c r="D13" s="204">
        <f>'10.Grain Production details'!C96</f>
        <v>0</v>
      </c>
      <c r="E13" s="204">
        <f>'10.Grain Production details'!D96</f>
        <v>0</v>
      </c>
      <c r="F13" s="204">
        <f>'10.Grain Production details'!E96</f>
        <v>0</v>
      </c>
      <c r="G13" s="204">
        <f>'10.Grain Production details'!F96</f>
        <v>0</v>
      </c>
      <c r="H13" s="204">
        <f>'10.Grain Production details'!G96</f>
        <v>0</v>
      </c>
      <c r="I13" s="204">
        <f>'10.Grain Production details'!H96</f>
        <v>0</v>
      </c>
    </row>
    <row r="14" spans="1:9">
      <c r="A14" s="98" t="str">
        <f>'10.Grain Production details'!A97</f>
        <v>Udid</v>
      </c>
      <c r="B14" s="204"/>
      <c r="C14" s="204">
        <f>'10.Grain Production details'!B97</f>
        <v>32.5</v>
      </c>
      <c r="D14" s="204">
        <f>'10.Grain Production details'!C97</f>
        <v>35</v>
      </c>
      <c r="E14" s="204">
        <f>'10.Grain Production details'!D97</f>
        <v>37.5</v>
      </c>
      <c r="F14" s="204">
        <f>'10.Grain Production details'!E97</f>
        <v>40</v>
      </c>
      <c r="G14" s="204">
        <f>'10.Grain Production details'!F97</f>
        <v>42.500000000000007</v>
      </c>
      <c r="H14" s="204">
        <f>'10.Grain Production details'!G97</f>
        <v>45.000000000000014</v>
      </c>
      <c r="I14" s="204">
        <f>'10.Grain Production details'!H97</f>
        <v>47.500000000000014</v>
      </c>
    </row>
    <row r="15" spans="1:9">
      <c r="A15" s="98" t="str">
        <f>'10.Grain Production details'!A98</f>
        <v>Bajra</v>
      </c>
      <c r="B15" s="204"/>
      <c r="C15" s="204">
        <f>'10.Grain Production details'!B98</f>
        <v>0</v>
      </c>
      <c r="D15" s="204">
        <f>'10.Grain Production details'!C98</f>
        <v>0</v>
      </c>
      <c r="E15" s="204">
        <f>'10.Grain Production details'!D98</f>
        <v>0</v>
      </c>
      <c r="F15" s="204">
        <f>'10.Grain Production details'!E98</f>
        <v>0</v>
      </c>
      <c r="G15" s="204">
        <f>'10.Grain Production details'!F98</f>
        <v>0</v>
      </c>
      <c r="H15" s="204">
        <f>'10.Grain Production details'!G98</f>
        <v>0</v>
      </c>
      <c r="I15" s="204">
        <f>'10.Grain Production details'!H98</f>
        <v>0</v>
      </c>
    </row>
    <row r="16" spans="1:9">
      <c r="A16" s="98" t="str">
        <f>'10.Grain Production details'!A99</f>
        <v>Jawar</v>
      </c>
      <c r="B16" s="204"/>
      <c r="C16" s="204">
        <f>'10.Grain Production details'!B99</f>
        <v>32.5</v>
      </c>
      <c r="D16" s="204">
        <f>'10.Grain Production details'!C99</f>
        <v>35</v>
      </c>
      <c r="E16" s="204">
        <f>'10.Grain Production details'!D99</f>
        <v>37.5</v>
      </c>
      <c r="F16" s="204">
        <f>'10.Grain Production details'!E99</f>
        <v>40</v>
      </c>
      <c r="G16" s="204">
        <f>'10.Grain Production details'!F99</f>
        <v>42.500000000000007</v>
      </c>
      <c r="H16" s="204">
        <f>'10.Grain Production details'!G99</f>
        <v>45.000000000000014</v>
      </c>
      <c r="I16" s="204">
        <f>'10.Grain Production details'!H99</f>
        <v>47.500000000000014</v>
      </c>
    </row>
    <row r="17" spans="1:9">
      <c r="A17" s="100" t="s">
        <v>180</v>
      </c>
      <c r="B17" s="204"/>
      <c r="C17" s="204"/>
      <c r="D17" s="204"/>
      <c r="E17" s="204"/>
      <c r="F17" s="204"/>
      <c r="G17" s="204"/>
      <c r="H17" s="204"/>
      <c r="I17" s="204"/>
    </row>
    <row r="18" spans="1:9">
      <c r="A18" s="98" t="str">
        <f>'10.Grain Production details'!A101</f>
        <v>Wheat</v>
      </c>
      <c r="B18" s="204"/>
      <c r="C18" s="204">
        <f>'10.Grain Production details'!B101</f>
        <v>58.5</v>
      </c>
      <c r="D18" s="204">
        <f>'10.Grain Production details'!C101</f>
        <v>63.000000000000007</v>
      </c>
      <c r="E18" s="204">
        <f>'10.Grain Production details'!D101</f>
        <v>67.500000000000014</v>
      </c>
      <c r="F18" s="204">
        <f>'10.Grain Production details'!E101</f>
        <v>72.000000000000014</v>
      </c>
      <c r="G18" s="204">
        <f>'10.Grain Production details'!F101</f>
        <v>76.500000000000014</v>
      </c>
      <c r="H18" s="204">
        <f>'10.Grain Production details'!G101</f>
        <v>81.000000000000028</v>
      </c>
      <c r="I18" s="204">
        <f>'10.Grain Production details'!H101</f>
        <v>85.500000000000043</v>
      </c>
    </row>
    <row r="19" spans="1:9">
      <c r="A19" s="98" t="str">
        <f>'10.Grain Production details'!A102</f>
        <v>Channa</v>
      </c>
      <c r="B19" s="204"/>
      <c r="C19" s="204">
        <f>'10.Grain Production details'!B102</f>
        <v>273</v>
      </c>
      <c r="D19" s="204">
        <f>'10.Grain Production details'!C102</f>
        <v>294</v>
      </c>
      <c r="E19" s="204">
        <f>'10.Grain Production details'!D102</f>
        <v>315</v>
      </c>
      <c r="F19" s="204">
        <f>'10.Grain Production details'!E102</f>
        <v>336</v>
      </c>
      <c r="G19" s="204">
        <f>'10.Grain Production details'!F102</f>
        <v>357.00000000000006</v>
      </c>
      <c r="H19" s="204">
        <f>'10.Grain Production details'!G102</f>
        <v>378.00000000000006</v>
      </c>
      <c r="I19" s="204">
        <f>'10.Grain Production details'!H102</f>
        <v>399.00000000000006</v>
      </c>
    </row>
    <row r="20" spans="1:9">
      <c r="A20" s="98" t="str">
        <f>'10.Grain Production details'!A103</f>
        <v>Jawar</v>
      </c>
      <c r="B20" s="204"/>
      <c r="C20" s="204">
        <f>'10.Grain Production details'!B103</f>
        <v>39</v>
      </c>
      <c r="D20" s="204">
        <f>'10.Grain Production details'!C103</f>
        <v>42.000000000000007</v>
      </c>
      <c r="E20" s="204">
        <f>'10.Grain Production details'!D103</f>
        <v>45.000000000000014</v>
      </c>
      <c r="F20" s="204">
        <f>'10.Grain Production details'!E103</f>
        <v>48.000000000000014</v>
      </c>
      <c r="G20" s="204">
        <f>'10.Grain Production details'!F103</f>
        <v>51.000000000000021</v>
      </c>
      <c r="H20" s="204">
        <f>'10.Grain Production details'!G103</f>
        <v>54.000000000000028</v>
      </c>
      <c r="I20" s="204">
        <f>'10.Grain Production details'!H103</f>
        <v>57.000000000000028</v>
      </c>
    </row>
    <row r="21" spans="1:9">
      <c r="A21" s="98" t="str">
        <f>'10.Grain Production details'!A104</f>
        <v>Maize</v>
      </c>
      <c r="B21" s="204"/>
      <c r="C21" s="204">
        <f>'10.Grain Production details'!B104</f>
        <v>0</v>
      </c>
      <c r="D21" s="204">
        <f>'10.Grain Production details'!C104</f>
        <v>0</v>
      </c>
      <c r="E21" s="204">
        <f>'10.Grain Production details'!D104</f>
        <v>0</v>
      </c>
      <c r="F21" s="204">
        <f>'10.Grain Production details'!E104</f>
        <v>0</v>
      </c>
      <c r="G21" s="204">
        <f>'10.Grain Production details'!F104</f>
        <v>0</v>
      </c>
      <c r="H21" s="204">
        <f>'10.Grain Production details'!G104</f>
        <v>0</v>
      </c>
      <c r="I21" s="204">
        <f>'10.Grain Production details'!H104</f>
        <v>0</v>
      </c>
    </row>
    <row r="22" spans="1:9">
      <c r="A22" s="98" t="str">
        <f>'10.Grain Production details'!A105</f>
        <v>Safflower</v>
      </c>
      <c r="B22" s="204"/>
      <c r="C22" s="204">
        <f>'10.Grain Production details'!B105</f>
        <v>0</v>
      </c>
      <c r="D22" s="204">
        <f>'10.Grain Production details'!C105</f>
        <v>0</v>
      </c>
      <c r="E22" s="204">
        <f>'10.Grain Production details'!D105</f>
        <v>0</v>
      </c>
      <c r="F22" s="204">
        <f>'10.Grain Production details'!E105</f>
        <v>0</v>
      </c>
      <c r="G22" s="204">
        <f>'10.Grain Production details'!F105</f>
        <v>0</v>
      </c>
      <c r="H22" s="204">
        <f>'10.Grain Production details'!G105</f>
        <v>0</v>
      </c>
      <c r="I22" s="204">
        <f>'10.Grain Production details'!H105</f>
        <v>0</v>
      </c>
    </row>
    <row r="23" spans="1:9">
      <c r="A23" s="98" t="str">
        <f>'10.Grain Production details'!A106</f>
        <v>Groundnut</v>
      </c>
      <c r="B23" s="204"/>
      <c r="C23" s="204">
        <f>'10.Grain Production details'!B106</f>
        <v>19.5</v>
      </c>
      <c r="D23" s="204">
        <f>'10.Grain Production details'!C106</f>
        <v>21.000000000000004</v>
      </c>
      <c r="E23" s="204">
        <f>'10.Grain Production details'!D106</f>
        <v>22.500000000000007</v>
      </c>
      <c r="F23" s="204">
        <f>'10.Grain Production details'!E106</f>
        <v>24.000000000000007</v>
      </c>
      <c r="G23" s="204">
        <f>'10.Grain Production details'!F106</f>
        <v>25.500000000000011</v>
      </c>
      <c r="H23" s="204">
        <f>'10.Grain Production details'!G106</f>
        <v>27.000000000000014</v>
      </c>
      <c r="I23" s="204">
        <f>'10.Grain Production details'!H106</f>
        <v>28.500000000000014</v>
      </c>
    </row>
    <row r="24" spans="1:9">
      <c r="A24" s="98">
        <f>'10.Grain Production details'!A107</f>
        <v>0</v>
      </c>
      <c r="B24" s="204"/>
      <c r="C24" s="204">
        <f>'10.Grain Production details'!B107</f>
        <v>0</v>
      </c>
      <c r="D24" s="204">
        <f>'10.Grain Production details'!C107</f>
        <v>0</v>
      </c>
      <c r="E24" s="204">
        <f>'10.Grain Production details'!D107</f>
        <v>0</v>
      </c>
      <c r="F24" s="204">
        <f>'10.Grain Production details'!E107</f>
        <v>0</v>
      </c>
      <c r="G24" s="204">
        <f>'10.Grain Production details'!F107</f>
        <v>0</v>
      </c>
      <c r="H24" s="204">
        <f>'10.Grain Production details'!G107</f>
        <v>0</v>
      </c>
      <c r="I24" s="204">
        <f>'10.Grain Production details'!H107</f>
        <v>0</v>
      </c>
    </row>
    <row r="25" spans="1:9">
      <c r="A25" s="98">
        <f>'10.Grain Production details'!A108</f>
        <v>0</v>
      </c>
      <c r="B25" s="204"/>
      <c r="C25" s="204">
        <f>'10.Grain Production details'!B108</f>
        <v>0</v>
      </c>
      <c r="D25" s="204">
        <f>'10.Grain Production details'!C108</f>
        <v>0</v>
      </c>
      <c r="E25" s="204">
        <f>'10.Grain Production details'!D108</f>
        <v>0</v>
      </c>
      <c r="F25" s="204">
        <f>'10.Grain Production details'!E108</f>
        <v>0</v>
      </c>
      <c r="G25" s="204">
        <f>'10.Grain Production details'!F108</f>
        <v>0</v>
      </c>
      <c r="H25" s="204">
        <f>'10.Grain Production details'!G108</f>
        <v>0</v>
      </c>
      <c r="I25" s="204">
        <f>'10.Grain Production details'!H108</f>
        <v>0</v>
      </c>
    </row>
    <row r="26" spans="1:9">
      <c r="A26" s="100" t="str">
        <f>'10.Grain Production details'!A33</f>
        <v>Summer</v>
      </c>
      <c r="B26" s="204"/>
      <c r="C26" s="204"/>
      <c r="D26" s="204"/>
      <c r="E26" s="204"/>
      <c r="F26" s="204"/>
      <c r="G26" s="204"/>
      <c r="H26" s="204"/>
      <c r="I26" s="204"/>
    </row>
    <row r="27" spans="1:9">
      <c r="A27" s="98" t="str">
        <f>'10.Grain Production details'!A109</f>
        <v>Soybean</v>
      </c>
      <c r="B27" s="204"/>
      <c r="C27" s="204">
        <f>'10.Grain Production details'!B110</f>
        <v>3.25</v>
      </c>
      <c r="D27" s="204">
        <f>'10.Grain Production details'!C110</f>
        <v>3.5000000000000004</v>
      </c>
      <c r="E27" s="204">
        <f>'10.Grain Production details'!D110</f>
        <v>3.7500000000000004</v>
      </c>
      <c r="F27" s="204">
        <f>'10.Grain Production details'!E110</f>
        <v>4.0000000000000009</v>
      </c>
      <c r="G27" s="204">
        <f>'10.Grain Production details'!F110</f>
        <v>4.2500000000000009</v>
      </c>
      <c r="H27" s="204">
        <f>'10.Grain Production details'!G110</f>
        <v>4.5000000000000009</v>
      </c>
      <c r="I27" s="204">
        <f>'10.Grain Production details'!H110</f>
        <v>4.7500000000000018</v>
      </c>
    </row>
    <row r="28" spans="1:9">
      <c r="A28" s="98" t="str">
        <f>'10.Grain Production details'!A110</f>
        <v>Paddy</v>
      </c>
      <c r="B28" s="204"/>
      <c r="C28" s="204">
        <f>'10.Grain Production details'!B111</f>
        <v>3.25</v>
      </c>
      <c r="D28" s="204">
        <f>'10.Grain Production details'!C111</f>
        <v>3.5000000000000004</v>
      </c>
      <c r="E28" s="204">
        <f>'10.Grain Production details'!D111</f>
        <v>3.7500000000000004</v>
      </c>
      <c r="F28" s="204">
        <f>'10.Grain Production details'!E111</f>
        <v>4.0000000000000009</v>
      </c>
      <c r="G28" s="204">
        <f>'10.Grain Production details'!F111</f>
        <v>4.2500000000000009</v>
      </c>
      <c r="H28" s="204">
        <f>'10.Grain Production details'!G111</f>
        <v>4.5000000000000009</v>
      </c>
      <c r="I28" s="204">
        <f>'10.Grain Production details'!H111</f>
        <v>4.7500000000000018</v>
      </c>
    </row>
    <row r="29" spans="1:9">
      <c r="A29" s="98">
        <f>'10.Grain Production details'!A111</f>
        <v>0</v>
      </c>
      <c r="B29" s="204"/>
      <c r="C29" s="204">
        <f>'10.Grain Production details'!B112</f>
        <v>0</v>
      </c>
      <c r="D29" s="204">
        <f>'10.Grain Production details'!C112</f>
        <v>0</v>
      </c>
      <c r="E29" s="204">
        <f>'10.Grain Production details'!D112</f>
        <v>0</v>
      </c>
      <c r="F29" s="204">
        <f>'10.Grain Production details'!E112</f>
        <v>0</v>
      </c>
      <c r="G29" s="204">
        <f>'10.Grain Production details'!F112</f>
        <v>0</v>
      </c>
      <c r="H29" s="204">
        <f>'10.Grain Production details'!G112</f>
        <v>0</v>
      </c>
      <c r="I29" s="204">
        <f>'10.Grain Production details'!H112</f>
        <v>0</v>
      </c>
    </row>
    <row r="30" spans="1:9">
      <c r="A30" s="98">
        <f>'10.Grain Production details'!A112</f>
        <v>0</v>
      </c>
      <c r="B30" s="204"/>
      <c r="C30" s="204">
        <f>'10.Grain Production details'!B113</f>
        <v>0</v>
      </c>
      <c r="D30" s="204">
        <f>'10.Grain Production details'!C113</f>
        <v>0</v>
      </c>
      <c r="E30" s="204">
        <f>'10.Grain Production details'!D113</f>
        <v>0</v>
      </c>
      <c r="F30" s="204">
        <f>'10.Grain Production details'!E113</f>
        <v>0</v>
      </c>
      <c r="G30" s="204">
        <f>'10.Grain Production details'!F113</f>
        <v>0</v>
      </c>
      <c r="H30" s="204">
        <f>'10.Grain Production details'!G113</f>
        <v>0</v>
      </c>
      <c r="I30" s="204">
        <f>'10.Grain Production details'!H113</f>
        <v>0</v>
      </c>
    </row>
    <row r="31" spans="1:9">
      <c r="A31" s="98">
        <f>'10.Grain Production details'!A113</f>
        <v>0</v>
      </c>
      <c r="B31" s="204"/>
      <c r="C31" s="204">
        <f>'10.Grain Production details'!C114</f>
        <v>0</v>
      </c>
      <c r="D31" s="204">
        <f>'10.Grain Production details'!D114</f>
        <v>0</v>
      </c>
      <c r="E31" s="204">
        <f>'10.Grain Production details'!E114</f>
        <v>0</v>
      </c>
      <c r="F31" s="204">
        <f>'10.Grain Production details'!F114</f>
        <v>0</v>
      </c>
      <c r="G31" s="204">
        <f>'10.Grain Production details'!G114</f>
        <v>0</v>
      </c>
      <c r="H31" s="204">
        <f>'10.Grain Production details'!H114</f>
        <v>0</v>
      </c>
      <c r="I31" s="204">
        <f>'10.Grain Production details'!I114</f>
        <v>0</v>
      </c>
    </row>
    <row r="32" spans="1:9">
      <c r="A32" s="100" t="str">
        <f>'11.F&amp;V Crop Production details'!A1:H1</f>
        <v>Fruit  &amp; Vegetables Crop Production Details</v>
      </c>
      <c r="B32" s="204"/>
      <c r="C32" s="204"/>
      <c r="D32" s="204"/>
      <c r="E32" s="204"/>
      <c r="F32" s="204"/>
      <c r="G32" s="204"/>
      <c r="H32" s="204"/>
      <c r="I32" s="204"/>
    </row>
    <row r="33" spans="1:9">
      <c r="A33" s="98" t="str">
        <f>'11.F&amp;V Crop Production details'!A102</f>
        <v>Onion</v>
      </c>
      <c r="B33" s="204"/>
      <c r="C33" s="204">
        <f>'11.F&amp;V Crop Production details'!B102</f>
        <v>0</v>
      </c>
      <c r="D33" s="204">
        <f>'11.F&amp;V Crop Production details'!C102</f>
        <v>0</v>
      </c>
      <c r="E33" s="204">
        <f>'11.F&amp;V Crop Production details'!D102</f>
        <v>0</v>
      </c>
      <c r="F33" s="204">
        <f>'11.F&amp;V Crop Production details'!E102</f>
        <v>0</v>
      </c>
      <c r="G33" s="204">
        <f>'11.F&amp;V Crop Production details'!F102</f>
        <v>0</v>
      </c>
      <c r="H33" s="204">
        <f>'11.F&amp;V Crop Production details'!G102</f>
        <v>0</v>
      </c>
      <c r="I33" s="204">
        <f>'11.F&amp;V Crop Production details'!H102</f>
        <v>0</v>
      </c>
    </row>
    <row r="34" spans="1:9">
      <c r="A34" s="98" t="str">
        <f>'11.F&amp;V Crop Production details'!A103</f>
        <v>Tomato</v>
      </c>
      <c r="B34" s="204"/>
      <c r="C34" s="204">
        <f>'11.F&amp;V Crop Production details'!B103</f>
        <v>0</v>
      </c>
      <c r="D34" s="204">
        <f>'11.F&amp;V Crop Production details'!C103</f>
        <v>0</v>
      </c>
      <c r="E34" s="204">
        <f>'11.F&amp;V Crop Production details'!D103</f>
        <v>0</v>
      </c>
      <c r="F34" s="204">
        <f>'11.F&amp;V Crop Production details'!E103</f>
        <v>0</v>
      </c>
      <c r="G34" s="204">
        <f>'11.F&amp;V Crop Production details'!F103</f>
        <v>0</v>
      </c>
      <c r="H34" s="204">
        <f>'11.F&amp;V Crop Production details'!G103</f>
        <v>0</v>
      </c>
      <c r="I34" s="204">
        <f>'11.F&amp;V Crop Production details'!H103</f>
        <v>0</v>
      </c>
    </row>
    <row r="35" spans="1:9">
      <c r="A35" s="98" t="str">
        <f>'11.F&amp;V Crop Production details'!A104</f>
        <v>Okra</v>
      </c>
      <c r="B35" s="204"/>
      <c r="C35" s="204">
        <f>'11.F&amp;V Crop Production details'!B104</f>
        <v>0</v>
      </c>
      <c r="D35" s="204">
        <f>'11.F&amp;V Crop Production details'!C104</f>
        <v>0</v>
      </c>
      <c r="E35" s="204">
        <f>'11.F&amp;V Crop Production details'!D104</f>
        <v>0</v>
      </c>
      <c r="F35" s="204">
        <f>'11.F&amp;V Crop Production details'!E104</f>
        <v>0</v>
      </c>
      <c r="G35" s="204">
        <f>'11.F&amp;V Crop Production details'!F104</f>
        <v>0</v>
      </c>
      <c r="H35" s="204">
        <f>'11.F&amp;V Crop Production details'!G104</f>
        <v>0</v>
      </c>
      <c r="I35" s="204">
        <f>'11.F&amp;V Crop Production details'!H104</f>
        <v>0</v>
      </c>
    </row>
    <row r="36" spans="1:9">
      <c r="A36" s="98" t="str">
        <f>'11.F&amp;V Crop Production details'!A105</f>
        <v>Chilli</v>
      </c>
      <c r="B36" s="204"/>
      <c r="C36" s="204">
        <f>'11.F&amp;V Crop Production details'!B105</f>
        <v>0</v>
      </c>
      <c r="D36" s="204">
        <f>'11.F&amp;V Crop Production details'!C105</f>
        <v>0</v>
      </c>
      <c r="E36" s="204">
        <f>'11.F&amp;V Crop Production details'!D105</f>
        <v>0</v>
      </c>
      <c r="F36" s="204">
        <f>'11.F&amp;V Crop Production details'!E105</f>
        <v>0</v>
      </c>
      <c r="G36" s="204">
        <f>'11.F&amp;V Crop Production details'!F105</f>
        <v>0</v>
      </c>
      <c r="H36" s="204">
        <f>'11.F&amp;V Crop Production details'!G105</f>
        <v>0</v>
      </c>
      <c r="I36" s="204">
        <f>'11.F&amp;V Crop Production details'!H105</f>
        <v>0</v>
      </c>
    </row>
    <row r="37" spans="1:9">
      <c r="A37" s="98" t="str">
        <f>'11.F&amp;V Crop Production details'!A106</f>
        <v>Potato</v>
      </c>
      <c r="B37" s="204"/>
      <c r="C37" s="204">
        <f>'11.F&amp;V Crop Production details'!B106</f>
        <v>0</v>
      </c>
      <c r="D37" s="204">
        <f>'11.F&amp;V Crop Production details'!C106</f>
        <v>0</v>
      </c>
      <c r="E37" s="204">
        <f>'11.F&amp;V Crop Production details'!D106</f>
        <v>0</v>
      </c>
      <c r="F37" s="204">
        <f>'11.F&amp;V Crop Production details'!E106</f>
        <v>0</v>
      </c>
      <c r="G37" s="204">
        <f>'11.F&amp;V Crop Production details'!F106</f>
        <v>0</v>
      </c>
      <c r="H37" s="204">
        <f>'11.F&amp;V Crop Production details'!G106</f>
        <v>0</v>
      </c>
      <c r="I37" s="204">
        <f>'11.F&amp;V Crop Production details'!H106</f>
        <v>0</v>
      </c>
    </row>
    <row r="38" spans="1:9">
      <c r="A38" s="98">
        <f>'11.F&amp;V Crop Production details'!A107</f>
        <v>0</v>
      </c>
      <c r="B38" s="204"/>
      <c r="C38" s="204">
        <f>'11.F&amp;V Crop Production details'!B107</f>
        <v>0</v>
      </c>
      <c r="D38" s="204">
        <f>'11.F&amp;V Crop Production details'!C107</f>
        <v>0</v>
      </c>
      <c r="E38" s="204">
        <f>'11.F&amp;V Crop Production details'!D107</f>
        <v>0</v>
      </c>
      <c r="F38" s="204">
        <f>'11.F&amp;V Crop Production details'!E107</f>
        <v>0</v>
      </c>
      <c r="G38" s="204">
        <f>'11.F&amp;V Crop Production details'!F107</f>
        <v>0</v>
      </c>
      <c r="H38" s="204">
        <f>'11.F&amp;V Crop Production details'!G107</f>
        <v>0</v>
      </c>
      <c r="I38" s="204">
        <f>'11.F&amp;V Crop Production details'!H107</f>
        <v>0</v>
      </c>
    </row>
    <row r="39" spans="1:9">
      <c r="A39" s="98">
        <f>'11.F&amp;V Crop Production details'!A108</f>
        <v>0</v>
      </c>
      <c r="B39" s="204"/>
      <c r="C39" s="204">
        <f>'11.F&amp;V Crop Production details'!B108</f>
        <v>0</v>
      </c>
      <c r="D39" s="204">
        <f>'11.F&amp;V Crop Production details'!C108</f>
        <v>0</v>
      </c>
      <c r="E39" s="204">
        <f>'11.F&amp;V Crop Production details'!D108</f>
        <v>0</v>
      </c>
      <c r="F39" s="204">
        <f>'11.F&amp;V Crop Production details'!E108</f>
        <v>0</v>
      </c>
      <c r="G39" s="204">
        <f>'11.F&amp;V Crop Production details'!F108</f>
        <v>0</v>
      </c>
      <c r="H39" s="204">
        <f>'11.F&amp;V Crop Production details'!G108</f>
        <v>0</v>
      </c>
      <c r="I39" s="204">
        <f>'11.F&amp;V Crop Production details'!H108</f>
        <v>0</v>
      </c>
    </row>
    <row r="40" spans="1:9">
      <c r="A40" s="98">
        <f>'11.F&amp;V Crop Production details'!A109</f>
        <v>0</v>
      </c>
      <c r="B40" s="204"/>
      <c r="C40" s="204">
        <f>'11.F&amp;V Crop Production details'!B109</f>
        <v>0</v>
      </c>
      <c r="D40" s="204">
        <f>'11.F&amp;V Crop Production details'!C109</f>
        <v>0</v>
      </c>
      <c r="E40" s="204">
        <f>'11.F&amp;V Crop Production details'!D109</f>
        <v>0</v>
      </c>
      <c r="F40" s="204">
        <f>'11.F&amp;V Crop Production details'!E109</f>
        <v>0</v>
      </c>
      <c r="G40" s="204">
        <f>'11.F&amp;V Crop Production details'!F109</f>
        <v>0</v>
      </c>
      <c r="H40" s="204">
        <f>'11.F&amp;V Crop Production details'!G109</f>
        <v>0</v>
      </c>
      <c r="I40" s="204">
        <f>'11.F&amp;V Crop Production details'!H109</f>
        <v>0</v>
      </c>
    </row>
    <row r="41" spans="1:9">
      <c r="A41" s="98">
        <f>'11.F&amp;V Crop Production details'!A110</f>
        <v>0</v>
      </c>
      <c r="B41" s="204"/>
      <c r="C41" s="204">
        <f>'11.F&amp;V Crop Production details'!B110</f>
        <v>0</v>
      </c>
      <c r="D41" s="204">
        <f>'11.F&amp;V Crop Production details'!C110</f>
        <v>0</v>
      </c>
      <c r="E41" s="204">
        <f>'11.F&amp;V Crop Production details'!D110</f>
        <v>0</v>
      </c>
      <c r="F41" s="204">
        <f>'11.F&amp;V Crop Production details'!E110</f>
        <v>0</v>
      </c>
      <c r="G41" s="204">
        <f>'11.F&amp;V Crop Production details'!F110</f>
        <v>0</v>
      </c>
      <c r="H41" s="204">
        <f>'11.F&amp;V Crop Production details'!G110</f>
        <v>0</v>
      </c>
      <c r="I41" s="204">
        <f>'11.F&amp;V Crop Production details'!H110</f>
        <v>0</v>
      </c>
    </row>
    <row r="42" spans="1:9">
      <c r="A42" s="98" t="str">
        <f>'11.F&amp;V Crop Production details'!A111</f>
        <v>Onion</v>
      </c>
      <c r="B42" s="204"/>
      <c r="C42" s="204">
        <f>'11.F&amp;V Crop Production details'!B111</f>
        <v>0</v>
      </c>
      <c r="D42" s="204">
        <f>'11.F&amp;V Crop Production details'!C111</f>
        <v>0</v>
      </c>
      <c r="E42" s="204">
        <f>'11.F&amp;V Crop Production details'!D111</f>
        <v>0</v>
      </c>
      <c r="F42" s="204">
        <f>'11.F&amp;V Crop Production details'!E111</f>
        <v>0</v>
      </c>
      <c r="G42" s="204">
        <f>'11.F&amp;V Crop Production details'!F111</f>
        <v>0</v>
      </c>
      <c r="H42" s="204">
        <f>'11.F&amp;V Crop Production details'!G111</f>
        <v>0</v>
      </c>
      <c r="I42" s="204">
        <f>'11.F&amp;V Crop Production details'!H111</f>
        <v>0</v>
      </c>
    </row>
    <row r="43" spans="1:9">
      <c r="A43" s="98" t="str">
        <f>'11.F&amp;V Crop Production details'!A112</f>
        <v>Tomato</v>
      </c>
      <c r="B43" s="204"/>
      <c r="C43" s="204">
        <f>'11.F&amp;V Crop Production details'!B112</f>
        <v>0</v>
      </c>
      <c r="D43" s="204">
        <f>'11.F&amp;V Crop Production details'!C112</f>
        <v>0</v>
      </c>
      <c r="E43" s="204">
        <f>'11.F&amp;V Crop Production details'!D112</f>
        <v>0</v>
      </c>
      <c r="F43" s="204">
        <f>'11.F&amp;V Crop Production details'!E112</f>
        <v>0</v>
      </c>
      <c r="G43" s="204">
        <f>'11.F&amp;V Crop Production details'!F112</f>
        <v>0</v>
      </c>
      <c r="H43" s="204">
        <f>'11.F&amp;V Crop Production details'!G112</f>
        <v>0</v>
      </c>
      <c r="I43" s="204">
        <f>'11.F&amp;V Crop Production details'!H112</f>
        <v>0</v>
      </c>
    </row>
    <row r="44" spans="1:9">
      <c r="A44" s="98" t="str">
        <f>'11.F&amp;V Crop Production details'!A113</f>
        <v>Okra</v>
      </c>
      <c r="B44" s="204"/>
      <c r="C44" s="204">
        <f>'11.F&amp;V Crop Production details'!B113</f>
        <v>0</v>
      </c>
      <c r="D44" s="204">
        <f>'11.F&amp;V Crop Production details'!C113</f>
        <v>0</v>
      </c>
      <c r="E44" s="204">
        <f>'11.F&amp;V Crop Production details'!D113</f>
        <v>0</v>
      </c>
      <c r="F44" s="204">
        <f>'11.F&amp;V Crop Production details'!E113</f>
        <v>0</v>
      </c>
      <c r="G44" s="204">
        <f>'11.F&amp;V Crop Production details'!F113</f>
        <v>0</v>
      </c>
      <c r="H44" s="204">
        <f>'11.F&amp;V Crop Production details'!G113</f>
        <v>0</v>
      </c>
      <c r="I44" s="204">
        <f>'11.F&amp;V Crop Production details'!H113</f>
        <v>0</v>
      </c>
    </row>
    <row r="45" spans="1:9">
      <c r="A45" s="98" t="str">
        <f>'11.F&amp;V Crop Production details'!A114</f>
        <v>Chilli</v>
      </c>
      <c r="B45" s="204"/>
      <c r="C45" s="204">
        <f>'11.F&amp;V Crop Production details'!B114</f>
        <v>0</v>
      </c>
      <c r="D45" s="204">
        <f>'11.F&amp;V Crop Production details'!C114</f>
        <v>0</v>
      </c>
      <c r="E45" s="204">
        <f>'11.F&amp;V Crop Production details'!D114</f>
        <v>0</v>
      </c>
      <c r="F45" s="204">
        <f>'11.F&amp;V Crop Production details'!E114</f>
        <v>0</v>
      </c>
      <c r="G45" s="204">
        <f>'11.F&amp;V Crop Production details'!F114</f>
        <v>0</v>
      </c>
      <c r="H45" s="204">
        <f>'11.F&amp;V Crop Production details'!G114</f>
        <v>0</v>
      </c>
      <c r="I45" s="204">
        <f>'11.F&amp;V Crop Production details'!H114</f>
        <v>0</v>
      </c>
    </row>
    <row r="46" spans="1:9">
      <c r="A46" s="98" t="str">
        <f>'11.F&amp;V Crop Production details'!A115</f>
        <v>Brinjal</v>
      </c>
      <c r="B46" s="204"/>
      <c r="C46" s="204">
        <f>'11.F&amp;V Crop Production details'!B115</f>
        <v>0</v>
      </c>
      <c r="D46" s="204">
        <f>'11.F&amp;V Crop Production details'!C115</f>
        <v>0</v>
      </c>
      <c r="E46" s="204">
        <f>'11.F&amp;V Crop Production details'!D115</f>
        <v>0</v>
      </c>
      <c r="F46" s="204">
        <f>'11.F&amp;V Crop Production details'!E115</f>
        <v>0</v>
      </c>
      <c r="G46" s="204">
        <f>'11.F&amp;V Crop Production details'!F115</f>
        <v>0</v>
      </c>
      <c r="H46" s="204">
        <f>'11.F&amp;V Crop Production details'!G115</f>
        <v>0</v>
      </c>
      <c r="I46" s="204">
        <f>'11.F&amp;V Crop Production details'!H115</f>
        <v>0</v>
      </c>
    </row>
    <row r="47" spans="1:9">
      <c r="A47" s="98">
        <f>'11.F&amp;V Crop Production details'!A116</f>
        <v>0</v>
      </c>
      <c r="B47" s="204"/>
      <c r="C47" s="204">
        <f>'11.F&amp;V Crop Production details'!B116</f>
        <v>0</v>
      </c>
      <c r="D47" s="204">
        <f>'11.F&amp;V Crop Production details'!C116</f>
        <v>0</v>
      </c>
      <c r="E47" s="204">
        <f>'11.F&amp;V Crop Production details'!D116</f>
        <v>0</v>
      </c>
      <c r="F47" s="204">
        <f>'11.F&amp;V Crop Production details'!E116</f>
        <v>0</v>
      </c>
      <c r="G47" s="204">
        <f>'11.F&amp;V Crop Production details'!F116</f>
        <v>0</v>
      </c>
      <c r="H47" s="204">
        <f>'11.F&amp;V Crop Production details'!G116</f>
        <v>0</v>
      </c>
      <c r="I47" s="204">
        <f>'11.F&amp;V Crop Production details'!H116</f>
        <v>0</v>
      </c>
    </row>
    <row r="48" spans="1:9">
      <c r="A48" s="98">
        <f>'11.F&amp;V Crop Production details'!A117</f>
        <v>0</v>
      </c>
      <c r="B48" s="204"/>
      <c r="C48" s="204">
        <f>'11.F&amp;V Crop Production details'!B117</f>
        <v>0</v>
      </c>
      <c r="D48" s="204">
        <f>'11.F&amp;V Crop Production details'!C117</f>
        <v>0</v>
      </c>
      <c r="E48" s="204">
        <f>'11.F&amp;V Crop Production details'!D117</f>
        <v>0</v>
      </c>
      <c r="F48" s="204">
        <f>'11.F&amp;V Crop Production details'!E117</f>
        <v>0</v>
      </c>
      <c r="G48" s="204">
        <f>'11.F&amp;V Crop Production details'!F117</f>
        <v>0</v>
      </c>
      <c r="H48" s="204">
        <f>'11.F&amp;V Crop Production details'!G117</f>
        <v>0</v>
      </c>
      <c r="I48" s="204">
        <f>'11.F&amp;V Crop Production details'!H117</f>
        <v>0</v>
      </c>
    </row>
    <row r="49" spans="1:9">
      <c r="A49" s="98">
        <f>'11.F&amp;V Crop Production details'!A118</f>
        <v>0</v>
      </c>
      <c r="B49" s="204"/>
      <c r="C49" s="204">
        <f>'11.F&amp;V Crop Production details'!B118</f>
        <v>0</v>
      </c>
      <c r="D49" s="204">
        <f>'11.F&amp;V Crop Production details'!C118</f>
        <v>0</v>
      </c>
      <c r="E49" s="204">
        <f>'11.F&amp;V Crop Production details'!D118</f>
        <v>0</v>
      </c>
      <c r="F49" s="204">
        <f>'11.F&amp;V Crop Production details'!E118</f>
        <v>0</v>
      </c>
      <c r="G49" s="204">
        <f>'11.F&amp;V Crop Production details'!F118</f>
        <v>0</v>
      </c>
      <c r="H49" s="204">
        <f>'11.F&amp;V Crop Production details'!G118</f>
        <v>0</v>
      </c>
      <c r="I49" s="204">
        <f>'11.F&amp;V Crop Production details'!H118</f>
        <v>0</v>
      </c>
    </row>
    <row r="50" spans="1:9">
      <c r="A50" s="98">
        <f>'11.F&amp;V Crop Production details'!A119</f>
        <v>0</v>
      </c>
      <c r="B50" s="204"/>
      <c r="C50" s="204">
        <f>'11.F&amp;V Crop Production details'!B119</f>
        <v>0</v>
      </c>
      <c r="D50" s="204">
        <f>'11.F&amp;V Crop Production details'!C119</f>
        <v>0</v>
      </c>
      <c r="E50" s="204">
        <f>'11.F&amp;V Crop Production details'!D119</f>
        <v>0</v>
      </c>
      <c r="F50" s="204">
        <f>'11.F&amp;V Crop Production details'!E119</f>
        <v>0</v>
      </c>
      <c r="G50" s="204">
        <f>'11.F&amp;V Crop Production details'!F119</f>
        <v>0</v>
      </c>
      <c r="H50" s="204">
        <f>'11.F&amp;V Crop Production details'!G119</f>
        <v>0</v>
      </c>
      <c r="I50" s="204">
        <f>'11.F&amp;V Crop Production details'!H119</f>
        <v>0</v>
      </c>
    </row>
    <row r="51" spans="1:9">
      <c r="A51" s="98">
        <f>'11.F&amp;V Crop Production details'!A120</f>
        <v>0</v>
      </c>
      <c r="B51" s="204"/>
      <c r="C51" s="204">
        <f>'11.F&amp;V Crop Production details'!B120</f>
        <v>0</v>
      </c>
      <c r="D51" s="204">
        <f>'11.F&amp;V Crop Production details'!C120</f>
        <v>0</v>
      </c>
      <c r="E51" s="204">
        <f>'11.F&amp;V Crop Production details'!D120</f>
        <v>0</v>
      </c>
      <c r="F51" s="204">
        <f>'11.F&amp;V Crop Production details'!E120</f>
        <v>0</v>
      </c>
      <c r="G51" s="204">
        <f>'11.F&amp;V Crop Production details'!F120</f>
        <v>0</v>
      </c>
      <c r="H51" s="204">
        <f>'11.F&amp;V Crop Production details'!G120</f>
        <v>0</v>
      </c>
      <c r="I51" s="204">
        <f>'11.F&amp;V Crop Production details'!H120</f>
        <v>0</v>
      </c>
    </row>
    <row r="52" spans="1:9">
      <c r="A52" s="98">
        <f>'11.F&amp;V Crop Production details'!A121</f>
        <v>0</v>
      </c>
      <c r="B52" s="204"/>
      <c r="C52" s="204">
        <f>'11.F&amp;V Crop Production details'!B121</f>
        <v>0</v>
      </c>
      <c r="D52" s="204">
        <f>'11.F&amp;V Crop Production details'!C121</f>
        <v>0</v>
      </c>
      <c r="E52" s="204">
        <f>'11.F&amp;V Crop Production details'!D121</f>
        <v>0</v>
      </c>
      <c r="F52" s="204">
        <f>'11.F&amp;V Crop Production details'!E121</f>
        <v>0</v>
      </c>
      <c r="G52" s="204">
        <f>'11.F&amp;V Crop Production details'!F121</f>
        <v>0</v>
      </c>
      <c r="H52" s="204">
        <f>'11.F&amp;V Crop Production details'!G121</f>
        <v>0</v>
      </c>
      <c r="I52" s="204">
        <f>'11.F&amp;V Crop Production details'!H121</f>
        <v>0</v>
      </c>
    </row>
    <row r="53" spans="1:9">
      <c r="A53" s="98">
        <f>'11.F&amp;V Crop Production details'!A122</f>
        <v>0</v>
      </c>
      <c r="B53" s="204"/>
      <c r="C53" s="204">
        <f>'11.F&amp;V Crop Production details'!B122</f>
        <v>0</v>
      </c>
      <c r="D53" s="204">
        <f>'11.F&amp;V Crop Production details'!C122</f>
        <v>0</v>
      </c>
      <c r="E53" s="204">
        <f>'11.F&amp;V Crop Production details'!D122</f>
        <v>0</v>
      </c>
      <c r="F53" s="204">
        <f>'11.F&amp;V Crop Production details'!E122</f>
        <v>0</v>
      </c>
      <c r="G53" s="204">
        <f>'11.F&amp;V Crop Production details'!F122</f>
        <v>0</v>
      </c>
      <c r="H53" s="204">
        <f>'11.F&amp;V Crop Production details'!G122</f>
        <v>0</v>
      </c>
      <c r="I53" s="204">
        <f>'11.F&amp;V Crop Production details'!H122</f>
        <v>0</v>
      </c>
    </row>
    <row r="54" spans="1:9">
      <c r="A54" s="98" t="str">
        <f>'11.F&amp;V Crop Production details'!A123</f>
        <v>Pomegranate</v>
      </c>
      <c r="B54" s="204"/>
      <c r="C54" s="204">
        <f>'11.F&amp;V Crop Production details'!B123</f>
        <v>0</v>
      </c>
      <c r="D54" s="204">
        <f>'11.F&amp;V Crop Production details'!C123</f>
        <v>0</v>
      </c>
      <c r="E54" s="204">
        <f>'11.F&amp;V Crop Production details'!D123</f>
        <v>0</v>
      </c>
      <c r="F54" s="204">
        <f>'11.F&amp;V Crop Production details'!E123</f>
        <v>0</v>
      </c>
      <c r="G54" s="204">
        <f>'11.F&amp;V Crop Production details'!F123</f>
        <v>0</v>
      </c>
      <c r="H54" s="204">
        <f>'11.F&amp;V Crop Production details'!G123</f>
        <v>0</v>
      </c>
      <c r="I54" s="204">
        <f>'11.F&amp;V Crop Production details'!H123</f>
        <v>0</v>
      </c>
    </row>
    <row r="55" spans="1:9">
      <c r="A55" s="98" t="str">
        <f>'11.F&amp;V Crop Production details'!A124</f>
        <v>Custard Apple</v>
      </c>
      <c r="B55" s="204"/>
      <c r="C55" s="204">
        <f>'11.F&amp;V Crop Production details'!B124</f>
        <v>0</v>
      </c>
      <c r="D55" s="204">
        <f>'11.F&amp;V Crop Production details'!C124</f>
        <v>0</v>
      </c>
      <c r="E55" s="204">
        <f>'11.F&amp;V Crop Production details'!D124</f>
        <v>0</v>
      </c>
      <c r="F55" s="204">
        <f>'11.F&amp;V Crop Production details'!E124</f>
        <v>0</v>
      </c>
      <c r="G55" s="204">
        <f>'11.F&amp;V Crop Production details'!F124</f>
        <v>0</v>
      </c>
      <c r="H55" s="204">
        <f>'11.F&amp;V Crop Production details'!G124</f>
        <v>0</v>
      </c>
      <c r="I55" s="204">
        <f>'11.F&amp;V Crop Production details'!H124</f>
        <v>0</v>
      </c>
    </row>
    <row r="56" spans="1:9">
      <c r="A56" s="98" t="str">
        <f>'11.F&amp;V Crop Production details'!A125</f>
        <v>Guava</v>
      </c>
      <c r="B56" s="204"/>
      <c r="C56" s="204">
        <f>'11.F&amp;V Crop Production details'!B125</f>
        <v>0</v>
      </c>
      <c r="D56" s="204">
        <f>'11.F&amp;V Crop Production details'!C125</f>
        <v>0</v>
      </c>
      <c r="E56" s="204">
        <f>'11.F&amp;V Crop Production details'!D125</f>
        <v>0</v>
      </c>
      <c r="F56" s="204">
        <f>'11.F&amp;V Crop Production details'!E125</f>
        <v>0</v>
      </c>
      <c r="G56" s="204">
        <f>'11.F&amp;V Crop Production details'!F125</f>
        <v>0</v>
      </c>
      <c r="H56" s="204">
        <f>'11.F&amp;V Crop Production details'!G125</f>
        <v>0</v>
      </c>
      <c r="I56" s="204">
        <f>'11.F&amp;V Crop Production details'!H125</f>
        <v>0</v>
      </c>
    </row>
    <row r="57" spans="1:9">
      <c r="A57" s="98" t="str">
        <f>'11.F&amp;V Crop Production details'!A126</f>
        <v>Citrus</v>
      </c>
      <c r="B57" s="204"/>
      <c r="C57" s="204">
        <f>'11.F&amp;V Crop Production details'!B126</f>
        <v>0</v>
      </c>
      <c r="D57" s="204">
        <f>'11.F&amp;V Crop Production details'!C126</f>
        <v>0</v>
      </c>
      <c r="E57" s="204">
        <f>'11.F&amp;V Crop Production details'!D126</f>
        <v>0</v>
      </c>
      <c r="F57" s="204">
        <f>'11.F&amp;V Crop Production details'!E126</f>
        <v>0</v>
      </c>
      <c r="G57" s="204">
        <f>'11.F&amp;V Crop Production details'!F126</f>
        <v>0</v>
      </c>
      <c r="H57" s="204">
        <f>'11.F&amp;V Crop Production details'!G126</f>
        <v>0</v>
      </c>
      <c r="I57" s="204">
        <f>'11.F&amp;V Crop Production details'!H126</f>
        <v>0</v>
      </c>
    </row>
    <row r="58" spans="1:9">
      <c r="A58" s="98"/>
      <c r="B58" s="204"/>
      <c r="C58" s="204"/>
      <c r="D58" s="204"/>
      <c r="E58" s="204"/>
      <c r="F58" s="204"/>
      <c r="G58" s="204"/>
      <c r="H58" s="204"/>
      <c r="I58" s="204"/>
    </row>
    <row r="59" spans="1:9">
      <c r="A59" s="100" t="s">
        <v>181</v>
      </c>
      <c r="B59" s="98"/>
      <c r="C59" s="98"/>
      <c r="D59" s="98"/>
      <c r="E59" s="98"/>
      <c r="F59" s="98"/>
      <c r="G59" s="98"/>
      <c r="H59" s="98"/>
      <c r="I59" s="98"/>
    </row>
    <row r="60" spans="1:9">
      <c r="A60" s="100" t="s">
        <v>182</v>
      </c>
      <c r="B60" s="98"/>
      <c r="C60" s="98"/>
      <c r="D60" s="98"/>
      <c r="E60" s="98"/>
      <c r="F60" s="98"/>
      <c r="G60" s="98"/>
      <c r="H60" s="98"/>
      <c r="I60" s="98"/>
    </row>
    <row r="61" spans="1:9">
      <c r="A61" s="100" t="str">
        <f t="shared" ref="A61:A92" si="0">A8</f>
        <v>Kharif Crops</v>
      </c>
      <c r="B61" s="98"/>
      <c r="C61" s="98"/>
      <c r="D61" s="98"/>
      <c r="E61" s="98"/>
      <c r="F61" s="98"/>
      <c r="G61" s="98"/>
      <c r="H61" s="98"/>
      <c r="I61" s="98"/>
    </row>
    <row r="62" spans="1:9">
      <c r="A62" s="98" t="str">
        <f t="shared" si="0"/>
        <v>Soybean</v>
      </c>
      <c r="B62" s="229">
        <v>0</v>
      </c>
      <c r="C62" s="205">
        <f>$B62*C9</f>
        <v>0</v>
      </c>
      <c r="D62" s="205">
        <f>$B62*D9</f>
        <v>0</v>
      </c>
      <c r="E62" s="205">
        <f t="shared" ref="E62:I62" si="1">$B62*E9</f>
        <v>0</v>
      </c>
      <c r="F62" s="205">
        <f t="shared" si="1"/>
        <v>0</v>
      </c>
      <c r="G62" s="205">
        <f t="shared" si="1"/>
        <v>0</v>
      </c>
      <c r="H62" s="205">
        <f t="shared" si="1"/>
        <v>0</v>
      </c>
      <c r="I62" s="205">
        <f t="shared" si="1"/>
        <v>0</v>
      </c>
    </row>
    <row r="63" spans="1:9">
      <c r="A63" s="98" t="str">
        <f t="shared" si="0"/>
        <v>Tur</v>
      </c>
      <c r="B63" s="229">
        <v>0</v>
      </c>
      <c r="C63" s="205">
        <f>$B63*C10</f>
        <v>0</v>
      </c>
      <c r="D63" s="205">
        <f t="shared" ref="D63:I63" si="2">$B$63*D10</f>
        <v>0</v>
      </c>
      <c r="E63" s="205">
        <f t="shared" si="2"/>
        <v>0</v>
      </c>
      <c r="F63" s="205">
        <f t="shared" si="2"/>
        <v>0</v>
      </c>
      <c r="G63" s="205">
        <f t="shared" si="2"/>
        <v>0</v>
      </c>
      <c r="H63" s="205">
        <f t="shared" si="2"/>
        <v>0</v>
      </c>
      <c r="I63" s="205">
        <f t="shared" si="2"/>
        <v>0</v>
      </c>
    </row>
    <row r="64" spans="1:9">
      <c r="A64" s="98" t="str">
        <f t="shared" si="0"/>
        <v>Turmeric</v>
      </c>
      <c r="B64" s="229">
        <v>0</v>
      </c>
      <c r="C64" s="205">
        <f>$B64*C11</f>
        <v>0</v>
      </c>
      <c r="D64" s="205">
        <f t="shared" ref="D64:I64" si="3">$B$64*D11</f>
        <v>0</v>
      </c>
      <c r="E64" s="205">
        <f t="shared" si="3"/>
        <v>0</v>
      </c>
      <c r="F64" s="205">
        <f t="shared" si="3"/>
        <v>0</v>
      </c>
      <c r="G64" s="205">
        <f t="shared" si="3"/>
        <v>0</v>
      </c>
      <c r="H64" s="205">
        <f t="shared" si="3"/>
        <v>0</v>
      </c>
      <c r="I64" s="205">
        <f t="shared" si="3"/>
        <v>0</v>
      </c>
    </row>
    <row r="65" spans="1:9">
      <c r="A65" s="98" t="str">
        <f t="shared" si="0"/>
        <v>Moong</v>
      </c>
      <c r="B65" s="229">
        <v>0</v>
      </c>
      <c r="C65" s="205">
        <f>$B65*C12</f>
        <v>0</v>
      </c>
      <c r="D65" s="205">
        <f t="shared" ref="D65:I67" si="4">$B65*D12</f>
        <v>0</v>
      </c>
      <c r="E65" s="205">
        <f t="shared" si="4"/>
        <v>0</v>
      </c>
      <c r="F65" s="205">
        <f t="shared" si="4"/>
        <v>0</v>
      </c>
      <c r="G65" s="205">
        <f t="shared" si="4"/>
        <v>0</v>
      </c>
      <c r="H65" s="205">
        <f t="shared" si="4"/>
        <v>0</v>
      </c>
      <c r="I65" s="205">
        <f t="shared" si="4"/>
        <v>0</v>
      </c>
    </row>
    <row r="66" spans="1:9">
      <c r="A66" s="98" t="str">
        <f t="shared" si="0"/>
        <v>Maize</v>
      </c>
      <c r="B66" s="229">
        <v>0</v>
      </c>
      <c r="C66" s="205">
        <f>$B66*C13</f>
        <v>0</v>
      </c>
      <c r="D66" s="205">
        <f t="shared" si="4"/>
        <v>0</v>
      </c>
      <c r="E66" s="205">
        <f t="shared" si="4"/>
        <v>0</v>
      </c>
      <c r="F66" s="205">
        <f t="shared" si="4"/>
        <v>0</v>
      </c>
      <c r="G66" s="205">
        <f t="shared" si="4"/>
        <v>0</v>
      </c>
      <c r="H66" s="205">
        <f t="shared" si="4"/>
        <v>0</v>
      </c>
      <c r="I66" s="205">
        <f t="shared" si="4"/>
        <v>0</v>
      </c>
    </row>
    <row r="67" spans="1:9">
      <c r="A67" s="98" t="str">
        <f t="shared" si="0"/>
        <v>Udid</v>
      </c>
      <c r="B67" s="229">
        <v>0</v>
      </c>
      <c r="C67" s="205">
        <f>$B67*C14</f>
        <v>0</v>
      </c>
      <c r="D67" s="205">
        <f t="shared" si="4"/>
        <v>0</v>
      </c>
      <c r="E67" s="205">
        <f t="shared" si="4"/>
        <v>0</v>
      </c>
      <c r="F67" s="205">
        <f t="shared" si="4"/>
        <v>0</v>
      </c>
      <c r="G67" s="205">
        <f t="shared" si="4"/>
        <v>0</v>
      </c>
      <c r="H67" s="205">
        <f t="shared" si="4"/>
        <v>0</v>
      </c>
      <c r="I67" s="205">
        <f t="shared" si="4"/>
        <v>0</v>
      </c>
    </row>
    <row r="68" spans="1:9">
      <c r="A68" s="98" t="str">
        <f t="shared" si="0"/>
        <v>Bajra</v>
      </c>
      <c r="B68" s="229">
        <v>0</v>
      </c>
      <c r="C68" s="205">
        <f t="shared" ref="C68:I68" si="5">$B68*C15</f>
        <v>0</v>
      </c>
      <c r="D68" s="205">
        <f t="shared" si="5"/>
        <v>0</v>
      </c>
      <c r="E68" s="205">
        <f t="shared" si="5"/>
        <v>0</v>
      </c>
      <c r="F68" s="205">
        <f t="shared" si="5"/>
        <v>0</v>
      </c>
      <c r="G68" s="205">
        <f t="shared" si="5"/>
        <v>0</v>
      </c>
      <c r="H68" s="205">
        <f t="shared" si="5"/>
        <v>0</v>
      </c>
      <c r="I68" s="205">
        <f t="shared" si="5"/>
        <v>0</v>
      </c>
    </row>
    <row r="69" spans="1:9">
      <c r="A69" s="98" t="str">
        <f t="shared" si="0"/>
        <v>Jawar</v>
      </c>
      <c r="B69" s="229">
        <v>0</v>
      </c>
      <c r="C69" s="205">
        <f t="shared" ref="C69:I69" si="6">$B69*C16</f>
        <v>0</v>
      </c>
      <c r="D69" s="205">
        <f t="shared" si="6"/>
        <v>0</v>
      </c>
      <c r="E69" s="205">
        <f t="shared" si="6"/>
        <v>0</v>
      </c>
      <c r="F69" s="205">
        <f t="shared" si="6"/>
        <v>0</v>
      </c>
      <c r="G69" s="205">
        <f t="shared" si="6"/>
        <v>0</v>
      </c>
      <c r="H69" s="205">
        <f t="shared" si="6"/>
        <v>0</v>
      </c>
      <c r="I69" s="205">
        <f t="shared" si="6"/>
        <v>0</v>
      </c>
    </row>
    <row r="70" spans="1:9">
      <c r="A70" s="100" t="str">
        <f t="shared" si="0"/>
        <v>Rabi Crop</v>
      </c>
      <c r="B70" s="229"/>
      <c r="C70" s="205"/>
      <c r="D70" s="205"/>
      <c r="E70" s="205"/>
      <c r="F70" s="205"/>
      <c r="G70" s="205"/>
      <c r="H70" s="205"/>
      <c r="I70" s="205"/>
    </row>
    <row r="71" spans="1:9">
      <c r="A71" s="98" t="str">
        <f t="shared" si="0"/>
        <v>Wheat</v>
      </c>
      <c r="B71" s="229">
        <v>0</v>
      </c>
      <c r="C71" s="205">
        <f t="shared" ref="C71:I71" si="7">$B71*C18</f>
        <v>0</v>
      </c>
      <c r="D71" s="205">
        <f t="shared" si="7"/>
        <v>0</v>
      </c>
      <c r="E71" s="205">
        <f t="shared" si="7"/>
        <v>0</v>
      </c>
      <c r="F71" s="205">
        <f t="shared" si="7"/>
        <v>0</v>
      </c>
      <c r="G71" s="205">
        <f t="shared" si="7"/>
        <v>0</v>
      </c>
      <c r="H71" s="205">
        <f t="shared" si="7"/>
        <v>0</v>
      </c>
      <c r="I71" s="205">
        <f t="shared" si="7"/>
        <v>0</v>
      </c>
    </row>
    <row r="72" spans="1:9">
      <c r="A72" s="98" t="str">
        <f t="shared" si="0"/>
        <v>Channa</v>
      </c>
      <c r="B72" s="229">
        <v>0</v>
      </c>
      <c r="C72" s="205">
        <f t="shared" ref="C72:I72" si="8">$B72*C19</f>
        <v>0</v>
      </c>
      <c r="D72" s="205">
        <f t="shared" si="8"/>
        <v>0</v>
      </c>
      <c r="E72" s="205">
        <f t="shared" si="8"/>
        <v>0</v>
      </c>
      <c r="F72" s="205">
        <f t="shared" si="8"/>
        <v>0</v>
      </c>
      <c r="G72" s="205">
        <f t="shared" si="8"/>
        <v>0</v>
      </c>
      <c r="H72" s="205">
        <f t="shared" si="8"/>
        <v>0</v>
      </c>
      <c r="I72" s="205">
        <f t="shared" si="8"/>
        <v>0</v>
      </c>
    </row>
    <row r="73" spans="1:9">
      <c r="A73" s="98" t="str">
        <f t="shared" si="0"/>
        <v>Jawar</v>
      </c>
      <c r="B73" s="229">
        <v>0</v>
      </c>
      <c r="C73" s="205">
        <f t="shared" ref="C73:I73" si="9">$B73*C20</f>
        <v>0</v>
      </c>
      <c r="D73" s="205">
        <f t="shared" si="9"/>
        <v>0</v>
      </c>
      <c r="E73" s="205">
        <f t="shared" si="9"/>
        <v>0</v>
      </c>
      <c r="F73" s="205">
        <f t="shared" si="9"/>
        <v>0</v>
      </c>
      <c r="G73" s="205">
        <f t="shared" si="9"/>
        <v>0</v>
      </c>
      <c r="H73" s="205">
        <f t="shared" si="9"/>
        <v>0</v>
      </c>
      <c r="I73" s="205">
        <f t="shared" si="9"/>
        <v>0</v>
      </c>
    </row>
    <row r="74" spans="1:9">
      <c r="A74" s="98" t="str">
        <f t="shared" si="0"/>
        <v>Maize</v>
      </c>
      <c r="B74" s="229">
        <v>20</v>
      </c>
      <c r="C74" s="205">
        <f t="shared" ref="C74:I74" si="10">$B74*C21</f>
        <v>0</v>
      </c>
      <c r="D74" s="205">
        <f t="shared" si="10"/>
        <v>0</v>
      </c>
      <c r="E74" s="205">
        <f t="shared" si="10"/>
        <v>0</v>
      </c>
      <c r="F74" s="205">
        <f t="shared" si="10"/>
        <v>0</v>
      </c>
      <c r="G74" s="205">
        <f t="shared" si="10"/>
        <v>0</v>
      </c>
      <c r="H74" s="205">
        <f t="shared" si="10"/>
        <v>0</v>
      </c>
      <c r="I74" s="205">
        <f t="shared" si="10"/>
        <v>0</v>
      </c>
    </row>
    <row r="75" spans="1:9">
      <c r="A75" s="98" t="str">
        <f t="shared" si="0"/>
        <v>Safflower</v>
      </c>
      <c r="B75" s="229"/>
      <c r="C75" s="205">
        <f t="shared" ref="C75:I75" si="11">$B75*C22</f>
        <v>0</v>
      </c>
      <c r="D75" s="205">
        <f t="shared" si="11"/>
        <v>0</v>
      </c>
      <c r="E75" s="205">
        <f t="shared" si="11"/>
        <v>0</v>
      </c>
      <c r="F75" s="205">
        <f t="shared" si="11"/>
        <v>0</v>
      </c>
      <c r="G75" s="205">
        <f t="shared" si="11"/>
        <v>0</v>
      </c>
      <c r="H75" s="205">
        <f t="shared" si="11"/>
        <v>0</v>
      </c>
      <c r="I75" s="205">
        <f t="shared" si="11"/>
        <v>0</v>
      </c>
    </row>
    <row r="76" spans="1:9">
      <c r="A76" s="98" t="str">
        <f t="shared" si="0"/>
        <v>Groundnut</v>
      </c>
      <c r="B76" s="229"/>
      <c r="C76" s="205">
        <f t="shared" ref="C76:I76" si="12">$B76*C23</f>
        <v>0</v>
      </c>
      <c r="D76" s="205">
        <f t="shared" si="12"/>
        <v>0</v>
      </c>
      <c r="E76" s="205">
        <f t="shared" si="12"/>
        <v>0</v>
      </c>
      <c r="F76" s="205">
        <f t="shared" si="12"/>
        <v>0</v>
      </c>
      <c r="G76" s="205">
        <f t="shared" si="12"/>
        <v>0</v>
      </c>
      <c r="H76" s="205">
        <f t="shared" si="12"/>
        <v>0</v>
      </c>
      <c r="I76" s="205">
        <f t="shared" si="12"/>
        <v>0</v>
      </c>
    </row>
    <row r="77" spans="1:9">
      <c r="A77" s="98">
        <f t="shared" si="0"/>
        <v>0</v>
      </c>
      <c r="B77" s="229"/>
      <c r="C77" s="205">
        <f t="shared" ref="C77:I77" si="13">$B77*C24</f>
        <v>0</v>
      </c>
      <c r="D77" s="205">
        <f t="shared" si="13"/>
        <v>0</v>
      </c>
      <c r="E77" s="205">
        <f t="shared" si="13"/>
        <v>0</v>
      </c>
      <c r="F77" s="205">
        <f t="shared" si="13"/>
        <v>0</v>
      </c>
      <c r="G77" s="205">
        <f t="shared" si="13"/>
        <v>0</v>
      </c>
      <c r="H77" s="205">
        <f t="shared" si="13"/>
        <v>0</v>
      </c>
      <c r="I77" s="205">
        <f t="shared" si="13"/>
        <v>0</v>
      </c>
    </row>
    <row r="78" spans="1:9">
      <c r="A78" s="98">
        <f t="shared" si="0"/>
        <v>0</v>
      </c>
      <c r="B78" s="229"/>
      <c r="C78" s="205">
        <f t="shared" ref="C78:I78" si="14">$B78*C25</f>
        <v>0</v>
      </c>
      <c r="D78" s="205">
        <f t="shared" si="14"/>
        <v>0</v>
      </c>
      <c r="E78" s="205">
        <f t="shared" si="14"/>
        <v>0</v>
      </c>
      <c r="F78" s="205">
        <f t="shared" si="14"/>
        <v>0</v>
      </c>
      <c r="G78" s="205">
        <f t="shared" si="14"/>
        <v>0</v>
      </c>
      <c r="H78" s="205">
        <f t="shared" si="14"/>
        <v>0</v>
      </c>
      <c r="I78" s="205">
        <f t="shared" si="14"/>
        <v>0</v>
      </c>
    </row>
    <row r="79" spans="1:9">
      <c r="A79" s="100" t="str">
        <f t="shared" si="0"/>
        <v>Summer</v>
      </c>
      <c r="B79" s="229"/>
      <c r="C79" s="205"/>
      <c r="D79" s="205"/>
      <c r="E79" s="205"/>
      <c r="F79" s="205"/>
      <c r="G79" s="205"/>
      <c r="H79" s="205"/>
      <c r="I79" s="205"/>
    </row>
    <row r="80" spans="1:9">
      <c r="A80" s="98" t="str">
        <f t="shared" si="0"/>
        <v>Soybean</v>
      </c>
      <c r="B80" s="229"/>
      <c r="C80" s="205">
        <f t="shared" ref="C80:I80" si="15">$B80*C27</f>
        <v>0</v>
      </c>
      <c r="D80" s="205">
        <f t="shared" si="15"/>
        <v>0</v>
      </c>
      <c r="E80" s="205">
        <f t="shared" si="15"/>
        <v>0</v>
      </c>
      <c r="F80" s="205">
        <f t="shared" si="15"/>
        <v>0</v>
      </c>
      <c r="G80" s="205">
        <f t="shared" si="15"/>
        <v>0</v>
      </c>
      <c r="H80" s="205">
        <f t="shared" si="15"/>
        <v>0</v>
      </c>
      <c r="I80" s="205">
        <f t="shared" si="15"/>
        <v>0</v>
      </c>
    </row>
    <row r="81" spans="1:9">
      <c r="A81" s="98" t="str">
        <f t="shared" si="0"/>
        <v>Paddy</v>
      </c>
      <c r="B81" s="229"/>
      <c r="C81" s="205">
        <f t="shared" ref="C81:I81" si="16">$B81*C28</f>
        <v>0</v>
      </c>
      <c r="D81" s="205">
        <f t="shared" si="16"/>
        <v>0</v>
      </c>
      <c r="E81" s="205">
        <f t="shared" si="16"/>
        <v>0</v>
      </c>
      <c r="F81" s="205">
        <f t="shared" si="16"/>
        <v>0</v>
      </c>
      <c r="G81" s="205">
        <f t="shared" si="16"/>
        <v>0</v>
      </c>
      <c r="H81" s="205">
        <f t="shared" si="16"/>
        <v>0</v>
      </c>
      <c r="I81" s="205">
        <f t="shared" si="16"/>
        <v>0</v>
      </c>
    </row>
    <row r="82" spans="1:9">
      <c r="A82" s="98">
        <f t="shared" si="0"/>
        <v>0</v>
      </c>
      <c r="B82" s="229"/>
      <c r="C82" s="205">
        <f t="shared" ref="C82:I82" si="17">$B82*C29</f>
        <v>0</v>
      </c>
      <c r="D82" s="205">
        <f t="shared" si="17"/>
        <v>0</v>
      </c>
      <c r="E82" s="205">
        <f t="shared" si="17"/>
        <v>0</v>
      </c>
      <c r="F82" s="205">
        <f t="shared" si="17"/>
        <v>0</v>
      </c>
      <c r="G82" s="205">
        <f t="shared" si="17"/>
        <v>0</v>
      </c>
      <c r="H82" s="205">
        <f t="shared" si="17"/>
        <v>0</v>
      </c>
      <c r="I82" s="205">
        <f t="shared" si="17"/>
        <v>0</v>
      </c>
    </row>
    <row r="83" spans="1:9">
      <c r="A83" s="98">
        <f t="shared" si="0"/>
        <v>0</v>
      </c>
      <c r="B83" s="229"/>
      <c r="C83" s="205">
        <f t="shared" ref="C83:I83" si="18">$B83*C30</f>
        <v>0</v>
      </c>
      <c r="D83" s="205">
        <f t="shared" si="18"/>
        <v>0</v>
      </c>
      <c r="E83" s="205">
        <f t="shared" si="18"/>
        <v>0</v>
      </c>
      <c r="F83" s="205">
        <f t="shared" si="18"/>
        <v>0</v>
      </c>
      <c r="G83" s="205">
        <f t="shared" si="18"/>
        <v>0</v>
      </c>
      <c r="H83" s="205">
        <f t="shared" si="18"/>
        <v>0</v>
      </c>
      <c r="I83" s="205">
        <f t="shared" si="18"/>
        <v>0</v>
      </c>
    </row>
    <row r="84" spans="1:9">
      <c r="A84" s="98">
        <f t="shared" si="0"/>
        <v>0</v>
      </c>
      <c r="B84" s="229"/>
      <c r="C84" s="205">
        <f t="shared" ref="C84:I84" si="19">$B84*C31</f>
        <v>0</v>
      </c>
      <c r="D84" s="205">
        <f t="shared" si="19"/>
        <v>0</v>
      </c>
      <c r="E84" s="205">
        <f t="shared" si="19"/>
        <v>0</v>
      </c>
      <c r="F84" s="205">
        <f t="shared" si="19"/>
        <v>0</v>
      </c>
      <c r="G84" s="205">
        <f t="shared" si="19"/>
        <v>0</v>
      </c>
      <c r="H84" s="205">
        <f t="shared" si="19"/>
        <v>0</v>
      </c>
      <c r="I84" s="205">
        <f t="shared" si="19"/>
        <v>0</v>
      </c>
    </row>
    <row r="85" spans="1:9">
      <c r="A85" s="100" t="str">
        <f t="shared" si="0"/>
        <v>Fruit  &amp; Vegetables Crop Production Details</v>
      </c>
      <c r="B85" s="229"/>
      <c r="C85" s="205"/>
      <c r="D85" s="205"/>
      <c r="E85" s="205"/>
      <c r="F85" s="205"/>
      <c r="G85" s="205"/>
      <c r="H85" s="205"/>
      <c r="I85" s="205"/>
    </row>
    <row r="86" spans="1:9">
      <c r="A86" s="98" t="str">
        <f t="shared" si="0"/>
        <v>Onion</v>
      </c>
      <c r="B86" s="229"/>
      <c r="C86" s="205">
        <f t="shared" ref="C86:I86" si="20">$B86*C33</f>
        <v>0</v>
      </c>
      <c r="D86" s="205">
        <f t="shared" si="20"/>
        <v>0</v>
      </c>
      <c r="E86" s="205">
        <f t="shared" si="20"/>
        <v>0</v>
      </c>
      <c r="F86" s="205">
        <f t="shared" si="20"/>
        <v>0</v>
      </c>
      <c r="G86" s="205">
        <f t="shared" si="20"/>
        <v>0</v>
      </c>
      <c r="H86" s="205">
        <f t="shared" si="20"/>
        <v>0</v>
      </c>
      <c r="I86" s="205">
        <f t="shared" si="20"/>
        <v>0</v>
      </c>
    </row>
    <row r="87" spans="1:9">
      <c r="A87" s="98" t="str">
        <f t="shared" si="0"/>
        <v>Tomato</v>
      </c>
      <c r="B87" s="229"/>
      <c r="C87" s="205">
        <f t="shared" ref="C87:I87" si="21">$B87*C34</f>
        <v>0</v>
      </c>
      <c r="D87" s="205">
        <f t="shared" si="21"/>
        <v>0</v>
      </c>
      <c r="E87" s="205">
        <f t="shared" si="21"/>
        <v>0</v>
      </c>
      <c r="F87" s="205">
        <f t="shared" si="21"/>
        <v>0</v>
      </c>
      <c r="G87" s="205">
        <f t="shared" si="21"/>
        <v>0</v>
      </c>
      <c r="H87" s="205">
        <f t="shared" si="21"/>
        <v>0</v>
      </c>
      <c r="I87" s="205">
        <f t="shared" si="21"/>
        <v>0</v>
      </c>
    </row>
    <row r="88" spans="1:9">
      <c r="A88" s="98" t="str">
        <f t="shared" si="0"/>
        <v>Okra</v>
      </c>
      <c r="B88" s="229"/>
      <c r="C88" s="205">
        <f t="shared" ref="C88:I88" si="22">$B88*C35</f>
        <v>0</v>
      </c>
      <c r="D88" s="205">
        <f t="shared" si="22"/>
        <v>0</v>
      </c>
      <c r="E88" s="205">
        <f t="shared" si="22"/>
        <v>0</v>
      </c>
      <c r="F88" s="205">
        <f t="shared" si="22"/>
        <v>0</v>
      </c>
      <c r="G88" s="205">
        <f t="shared" si="22"/>
        <v>0</v>
      </c>
      <c r="H88" s="205">
        <f t="shared" si="22"/>
        <v>0</v>
      </c>
      <c r="I88" s="205">
        <f t="shared" si="22"/>
        <v>0</v>
      </c>
    </row>
    <row r="89" spans="1:9">
      <c r="A89" s="98" t="str">
        <f t="shared" si="0"/>
        <v>Chilli</v>
      </c>
      <c r="B89" s="229"/>
      <c r="C89" s="205">
        <f t="shared" ref="C89:I89" si="23">$B89*C36</f>
        <v>0</v>
      </c>
      <c r="D89" s="205">
        <f t="shared" si="23"/>
        <v>0</v>
      </c>
      <c r="E89" s="205">
        <f t="shared" si="23"/>
        <v>0</v>
      </c>
      <c r="F89" s="205">
        <f t="shared" si="23"/>
        <v>0</v>
      </c>
      <c r="G89" s="205">
        <f t="shared" si="23"/>
        <v>0</v>
      </c>
      <c r="H89" s="205">
        <f t="shared" si="23"/>
        <v>0</v>
      </c>
      <c r="I89" s="205">
        <f t="shared" si="23"/>
        <v>0</v>
      </c>
    </row>
    <row r="90" spans="1:9">
      <c r="A90" s="98" t="str">
        <f t="shared" si="0"/>
        <v>Potato</v>
      </c>
      <c r="B90" s="229"/>
      <c r="C90" s="205">
        <f t="shared" ref="C90:I90" si="24">$B90*C37</f>
        <v>0</v>
      </c>
      <c r="D90" s="205">
        <f t="shared" si="24"/>
        <v>0</v>
      </c>
      <c r="E90" s="205">
        <f t="shared" si="24"/>
        <v>0</v>
      </c>
      <c r="F90" s="205">
        <f t="shared" si="24"/>
        <v>0</v>
      </c>
      <c r="G90" s="205">
        <f t="shared" si="24"/>
        <v>0</v>
      </c>
      <c r="H90" s="205">
        <f t="shared" si="24"/>
        <v>0</v>
      </c>
      <c r="I90" s="205">
        <f t="shared" si="24"/>
        <v>0</v>
      </c>
    </row>
    <row r="91" spans="1:9">
      <c r="A91" s="98">
        <f t="shared" si="0"/>
        <v>0</v>
      </c>
      <c r="B91" s="229"/>
      <c r="C91" s="205">
        <f t="shared" ref="C91:I91" si="25">$B91*C38</f>
        <v>0</v>
      </c>
      <c r="D91" s="205">
        <f t="shared" si="25"/>
        <v>0</v>
      </c>
      <c r="E91" s="205">
        <f t="shared" si="25"/>
        <v>0</v>
      </c>
      <c r="F91" s="205">
        <f t="shared" si="25"/>
        <v>0</v>
      </c>
      <c r="G91" s="205">
        <f t="shared" si="25"/>
        <v>0</v>
      </c>
      <c r="H91" s="205">
        <f t="shared" si="25"/>
        <v>0</v>
      </c>
      <c r="I91" s="205">
        <f t="shared" si="25"/>
        <v>0</v>
      </c>
    </row>
    <row r="92" spans="1:9">
      <c r="A92" s="98">
        <f t="shared" si="0"/>
        <v>0</v>
      </c>
      <c r="B92" s="229"/>
      <c r="C92" s="205">
        <f t="shared" ref="C92:I92" si="26">$B92*C39</f>
        <v>0</v>
      </c>
      <c r="D92" s="205">
        <f t="shared" si="26"/>
        <v>0</v>
      </c>
      <c r="E92" s="205">
        <f t="shared" si="26"/>
        <v>0</v>
      </c>
      <c r="F92" s="205">
        <f t="shared" si="26"/>
        <v>0</v>
      </c>
      <c r="G92" s="205">
        <f t="shared" si="26"/>
        <v>0</v>
      </c>
      <c r="H92" s="205">
        <f t="shared" si="26"/>
        <v>0</v>
      </c>
      <c r="I92" s="205">
        <f t="shared" si="26"/>
        <v>0</v>
      </c>
    </row>
    <row r="93" spans="1:9">
      <c r="A93" s="98">
        <f t="shared" ref="A93:A110" si="27">A40</f>
        <v>0</v>
      </c>
      <c r="B93" s="229"/>
      <c r="C93" s="205">
        <f t="shared" ref="C93:I93" si="28">$B93*C40</f>
        <v>0</v>
      </c>
      <c r="D93" s="205">
        <f t="shared" si="28"/>
        <v>0</v>
      </c>
      <c r="E93" s="205">
        <f t="shared" si="28"/>
        <v>0</v>
      </c>
      <c r="F93" s="205">
        <f t="shared" si="28"/>
        <v>0</v>
      </c>
      <c r="G93" s="205">
        <f t="shared" si="28"/>
        <v>0</v>
      </c>
      <c r="H93" s="205">
        <f t="shared" si="28"/>
        <v>0</v>
      </c>
      <c r="I93" s="205">
        <f t="shared" si="28"/>
        <v>0</v>
      </c>
    </row>
    <row r="94" spans="1:9">
      <c r="A94" s="98">
        <f t="shared" si="27"/>
        <v>0</v>
      </c>
      <c r="B94" s="229"/>
      <c r="C94" s="205">
        <f t="shared" ref="C94:I94" si="29">$B94*C41</f>
        <v>0</v>
      </c>
      <c r="D94" s="205">
        <f t="shared" si="29"/>
        <v>0</v>
      </c>
      <c r="E94" s="205">
        <f t="shared" si="29"/>
        <v>0</v>
      </c>
      <c r="F94" s="205">
        <f t="shared" si="29"/>
        <v>0</v>
      </c>
      <c r="G94" s="205">
        <f t="shared" si="29"/>
        <v>0</v>
      </c>
      <c r="H94" s="205">
        <f t="shared" si="29"/>
        <v>0</v>
      </c>
      <c r="I94" s="205">
        <f t="shared" si="29"/>
        <v>0</v>
      </c>
    </row>
    <row r="95" spans="1:9">
      <c r="A95" s="98" t="str">
        <f t="shared" si="27"/>
        <v>Onion</v>
      </c>
      <c r="B95" s="229"/>
      <c r="C95" s="205">
        <f t="shared" ref="C95:I95" si="30">$B95*C42</f>
        <v>0</v>
      </c>
      <c r="D95" s="205">
        <f t="shared" si="30"/>
        <v>0</v>
      </c>
      <c r="E95" s="205">
        <f t="shared" si="30"/>
        <v>0</v>
      </c>
      <c r="F95" s="205">
        <f t="shared" si="30"/>
        <v>0</v>
      </c>
      <c r="G95" s="205">
        <f t="shared" si="30"/>
        <v>0</v>
      </c>
      <c r="H95" s="205">
        <f t="shared" si="30"/>
        <v>0</v>
      </c>
      <c r="I95" s="205">
        <f t="shared" si="30"/>
        <v>0</v>
      </c>
    </row>
    <row r="96" spans="1:9">
      <c r="A96" s="98" t="str">
        <f t="shared" si="27"/>
        <v>Tomato</v>
      </c>
      <c r="B96" s="229"/>
      <c r="C96" s="205">
        <f t="shared" ref="C96:I96" si="31">$B96*C43</f>
        <v>0</v>
      </c>
      <c r="D96" s="205">
        <f t="shared" si="31"/>
        <v>0</v>
      </c>
      <c r="E96" s="205">
        <f t="shared" si="31"/>
        <v>0</v>
      </c>
      <c r="F96" s="205">
        <f t="shared" si="31"/>
        <v>0</v>
      </c>
      <c r="G96" s="205">
        <f t="shared" si="31"/>
        <v>0</v>
      </c>
      <c r="H96" s="205">
        <f t="shared" si="31"/>
        <v>0</v>
      </c>
      <c r="I96" s="205">
        <f t="shared" si="31"/>
        <v>0</v>
      </c>
    </row>
    <row r="97" spans="1:9">
      <c r="A97" s="98" t="str">
        <f t="shared" si="27"/>
        <v>Okra</v>
      </c>
      <c r="B97" s="229"/>
      <c r="C97" s="205">
        <f t="shared" ref="C97:I97" si="32">$B97*C44</f>
        <v>0</v>
      </c>
      <c r="D97" s="205">
        <f t="shared" si="32"/>
        <v>0</v>
      </c>
      <c r="E97" s="205">
        <f t="shared" si="32"/>
        <v>0</v>
      </c>
      <c r="F97" s="205">
        <f t="shared" si="32"/>
        <v>0</v>
      </c>
      <c r="G97" s="205">
        <f t="shared" si="32"/>
        <v>0</v>
      </c>
      <c r="H97" s="205">
        <f t="shared" si="32"/>
        <v>0</v>
      </c>
      <c r="I97" s="205">
        <f t="shared" si="32"/>
        <v>0</v>
      </c>
    </row>
    <row r="98" spans="1:9">
      <c r="A98" s="98" t="str">
        <f t="shared" si="27"/>
        <v>Chilli</v>
      </c>
      <c r="B98" s="229"/>
      <c r="C98" s="205">
        <f t="shared" ref="C98:I98" si="33">$B98*C45</f>
        <v>0</v>
      </c>
      <c r="D98" s="205">
        <f t="shared" si="33"/>
        <v>0</v>
      </c>
      <c r="E98" s="205">
        <f t="shared" si="33"/>
        <v>0</v>
      </c>
      <c r="F98" s="205">
        <f t="shared" si="33"/>
        <v>0</v>
      </c>
      <c r="G98" s="205">
        <f t="shared" si="33"/>
        <v>0</v>
      </c>
      <c r="H98" s="205">
        <f t="shared" si="33"/>
        <v>0</v>
      </c>
      <c r="I98" s="205">
        <f t="shared" si="33"/>
        <v>0</v>
      </c>
    </row>
    <row r="99" spans="1:9">
      <c r="A99" s="98" t="str">
        <f t="shared" si="27"/>
        <v>Brinjal</v>
      </c>
      <c r="B99" s="229"/>
      <c r="C99" s="205">
        <f t="shared" ref="C99:I99" si="34">$B99*C46</f>
        <v>0</v>
      </c>
      <c r="D99" s="205">
        <f t="shared" si="34"/>
        <v>0</v>
      </c>
      <c r="E99" s="205">
        <f t="shared" si="34"/>
        <v>0</v>
      </c>
      <c r="F99" s="205">
        <f t="shared" si="34"/>
        <v>0</v>
      </c>
      <c r="G99" s="205">
        <f t="shared" si="34"/>
        <v>0</v>
      </c>
      <c r="H99" s="205">
        <f t="shared" si="34"/>
        <v>0</v>
      </c>
      <c r="I99" s="205">
        <f t="shared" si="34"/>
        <v>0</v>
      </c>
    </row>
    <row r="100" spans="1:9">
      <c r="A100" s="98">
        <f t="shared" si="27"/>
        <v>0</v>
      </c>
      <c r="B100" s="229"/>
      <c r="C100" s="205">
        <f t="shared" ref="C100:I100" si="35">$B100*C47</f>
        <v>0</v>
      </c>
      <c r="D100" s="205">
        <f t="shared" si="35"/>
        <v>0</v>
      </c>
      <c r="E100" s="205">
        <f t="shared" si="35"/>
        <v>0</v>
      </c>
      <c r="F100" s="205">
        <f t="shared" si="35"/>
        <v>0</v>
      </c>
      <c r="G100" s="205">
        <f t="shared" si="35"/>
        <v>0</v>
      </c>
      <c r="H100" s="205">
        <f t="shared" si="35"/>
        <v>0</v>
      </c>
      <c r="I100" s="205">
        <f t="shared" si="35"/>
        <v>0</v>
      </c>
    </row>
    <row r="101" spans="1:9">
      <c r="A101" s="98">
        <f t="shared" si="27"/>
        <v>0</v>
      </c>
      <c r="B101" s="229"/>
      <c r="C101" s="205">
        <f t="shared" ref="C101:I101" si="36">$B101*C48</f>
        <v>0</v>
      </c>
      <c r="D101" s="205">
        <f t="shared" si="36"/>
        <v>0</v>
      </c>
      <c r="E101" s="205">
        <f t="shared" si="36"/>
        <v>0</v>
      </c>
      <c r="F101" s="205">
        <f t="shared" si="36"/>
        <v>0</v>
      </c>
      <c r="G101" s="205">
        <f t="shared" si="36"/>
        <v>0</v>
      </c>
      <c r="H101" s="205">
        <f t="shared" si="36"/>
        <v>0</v>
      </c>
      <c r="I101" s="205">
        <f t="shared" si="36"/>
        <v>0</v>
      </c>
    </row>
    <row r="102" spans="1:9">
      <c r="A102" s="98">
        <f t="shared" si="27"/>
        <v>0</v>
      </c>
      <c r="B102" s="229"/>
      <c r="C102" s="205">
        <f t="shared" ref="C102:I102" si="37">$B102*C49</f>
        <v>0</v>
      </c>
      <c r="D102" s="205">
        <f t="shared" si="37"/>
        <v>0</v>
      </c>
      <c r="E102" s="205">
        <f t="shared" si="37"/>
        <v>0</v>
      </c>
      <c r="F102" s="205">
        <f t="shared" si="37"/>
        <v>0</v>
      </c>
      <c r="G102" s="205">
        <f t="shared" si="37"/>
        <v>0</v>
      </c>
      <c r="H102" s="205">
        <f t="shared" si="37"/>
        <v>0</v>
      </c>
      <c r="I102" s="205">
        <f t="shared" si="37"/>
        <v>0</v>
      </c>
    </row>
    <row r="103" spans="1:9">
      <c r="A103" s="98">
        <f t="shared" si="27"/>
        <v>0</v>
      </c>
      <c r="B103" s="229"/>
      <c r="C103" s="205">
        <f t="shared" ref="C103:I103" si="38">$B103*C50</f>
        <v>0</v>
      </c>
      <c r="D103" s="205">
        <f t="shared" si="38"/>
        <v>0</v>
      </c>
      <c r="E103" s="205">
        <f t="shared" si="38"/>
        <v>0</v>
      </c>
      <c r="F103" s="205">
        <f t="shared" si="38"/>
        <v>0</v>
      </c>
      <c r="G103" s="205">
        <f t="shared" si="38"/>
        <v>0</v>
      </c>
      <c r="H103" s="205">
        <f t="shared" si="38"/>
        <v>0</v>
      </c>
      <c r="I103" s="205">
        <f t="shared" si="38"/>
        <v>0</v>
      </c>
    </row>
    <row r="104" spans="1:9">
      <c r="A104" s="98">
        <f t="shared" si="27"/>
        <v>0</v>
      </c>
      <c r="B104" s="229"/>
      <c r="C104" s="205">
        <f t="shared" ref="C104:I104" si="39">$B104*C51</f>
        <v>0</v>
      </c>
      <c r="D104" s="205">
        <f t="shared" si="39"/>
        <v>0</v>
      </c>
      <c r="E104" s="205">
        <f t="shared" si="39"/>
        <v>0</v>
      </c>
      <c r="F104" s="205">
        <f t="shared" si="39"/>
        <v>0</v>
      </c>
      <c r="G104" s="205">
        <f t="shared" si="39"/>
        <v>0</v>
      </c>
      <c r="H104" s="205">
        <f t="shared" si="39"/>
        <v>0</v>
      </c>
      <c r="I104" s="205">
        <f t="shared" si="39"/>
        <v>0</v>
      </c>
    </row>
    <row r="105" spans="1:9">
      <c r="A105" s="98">
        <f t="shared" si="27"/>
        <v>0</v>
      </c>
      <c r="B105" s="229"/>
      <c r="C105" s="205">
        <f t="shared" ref="C105:I105" si="40">$B105*C52</f>
        <v>0</v>
      </c>
      <c r="D105" s="205">
        <f t="shared" si="40"/>
        <v>0</v>
      </c>
      <c r="E105" s="205">
        <f t="shared" si="40"/>
        <v>0</v>
      </c>
      <c r="F105" s="205">
        <f t="shared" si="40"/>
        <v>0</v>
      </c>
      <c r="G105" s="205">
        <f t="shared" si="40"/>
        <v>0</v>
      </c>
      <c r="H105" s="205">
        <f t="shared" si="40"/>
        <v>0</v>
      </c>
      <c r="I105" s="205">
        <f t="shared" si="40"/>
        <v>0</v>
      </c>
    </row>
    <row r="106" spans="1:9">
      <c r="A106" s="98">
        <f t="shared" si="27"/>
        <v>0</v>
      </c>
      <c r="B106" s="229"/>
      <c r="C106" s="205">
        <f t="shared" ref="C106:I106" si="41">$B106*C53</f>
        <v>0</v>
      </c>
      <c r="D106" s="205">
        <f t="shared" si="41"/>
        <v>0</v>
      </c>
      <c r="E106" s="205">
        <f t="shared" si="41"/>
        <v>0</v>
      </c>
      <c r="F106" s="205">
        <f t="shared" si="41"/>
        <v>0</v>
      </c>
      <c r="G106" s="205">
        <f t="shared" si="41"/>
        <v>0</v>
      </c>
      <c r="H106" s="205">
        <f t="shared" si="41"/>
        <v>0</v>
      </c>
      <c r="I106" s="205">
        <f t="shared" si="41"/>
        <v>0</v>
      </c>
    </row>
    <row r="107" spans="1:9">
      <c r="A107" s="98" t="str">
        <f t="shared" si="27"/>
        <v>Pomegranate</v>
      </c>
      <c r="B107" s="229"/>
      <c r="C107" s="205">
        <f t="shared" ref="C107:I107" si="42">$B107*C54</f>
        <v>0</v>
      </c>
      <c r="D107" s="205">
        <f t="shared" si="42"/>
        <v>0</v>
      </c>
      <c r="E107" s="205">
        <f t="shared" si="42"/>
        <v>0</v>
      </c>
      <c r="F107" s="205">
        <f t="shared" si="42"/>
        <v>0</v>
      </c>
      <c r="G107" s="205">
        <f t="shared" si="42"/>
        <v>0</v>
      </c>
      <c r="H107" s="205">
        <f t="shared" si="42"/>
        <v>0</v>
      </c>
      <c r="I107" s="205">
        <f t="shared" si="42"/>
        <v>0</v>
      </c>
    </row>
    <row r="108" spans="1:9">
      <c r="A108" s="98" t="str">
        <f t="shared" si="27"/>
        <v>Custard Apple</v>
      </c>
      <c r="B108" s="229"/>
      <c r="C108" s="205">
        <f t="shared" ref="C108:I108" si="43">$B108*C55</f>
        <v>0</v>
      </c>
      <c r="D108" s="205">
        <f t="shared" si="43"/>
        <v>0</v>
      </c>
      <c r="E108" s="205">
        <f t="shared" si="43"/>
        <v>0</v>
      </c>
      <c r="F108" s="205">
        <f t="shared" si="43"/>
        <v>0</v>
      </c>
      <c r="G108" s="205">
        <f t="shared" si="43"/>
        <v>0</v>
      </c>
      <c r="H108" s="205">
        <f t="shared" si="43"/>
        <v>0</v>
      </c>
      <c r="I108" s="205">
        <f t="shared" si="43"/>
        <v>0</v>
      </c>
    </row>
    <row r="109" spans="1:9">
      <c r="A109" s="98" t="str">
        <f t="shared" si="27"/>
        <v>Guava</v>
      </c>
      <c r="B109" s="229"/>
      <c r="C109" s="205">
        <f t="shared" ref="C109:I109" si="44">$B109*C56</f>
        <v>0</v>
      </c>
      <c r="D109" s="205">
        <f t="shared" si="44"/>
        <v>0</v>
      </c>
      <c r="E109" s="205">
        <f t="shared" si="44"/>
        <v>0</v>
      </c>
      <c r="F109" s="205">
        <f t="shared" si="44"/>
        <v>0</v>
      </c>
      <c r="G109" s="205">
        <f t="shared" si="44"/>
        <v>0</v>
      </c>
      <c r="H109" s="205">
        <f t="shared" si="44"/>
        <v>0</v>
      </c>
      <c r="I109" s="205">
        <f t="shared" si="44"/>
        <v>0</v>
      </c>
    </row>
    <row r="110" spans="1:9">
      <c r="A110" s="98" t="str">
        <f t="shared" si="27"/>
        <v>Citrus</v>
      </c>
      <c r="B110" s="229"/>
      <c r="C110" s="205">
        <f t="shared" ref="C110:I110" si="45">$B110*C57</f>
        <v>0</v>
      </c>
      <c r="D110" s="205">
        <f t="shared" si="45"/>
        <v>0</v>
      </c>
      <c r="E110" s="205">
        <f t="shared" si="45"/>
        <v>0</v>
      </c>
      <c r="F110" s="205">
        <f t="shared" si="45"/>
        <v>0</v>
      </c>
      <c r="G110" s="205">
        <f t="shared" si="45"/>
        <v>0</v>
      </c>
      <c r="H110" s="205">
        <f t="shared" si="45"/>
        <v>0</v>
      </c>
      <c r="I110" s="205">
        <f t="shared" si="45"/>
        <v>0</v>
      </c>
    </row>
    <row r="111" spans="1:9">
      <c r="A111" s="98"/>
      <c r="B111" s="229"/>
      <c r="C111" s="205"/>
      <c r="D111" s="205"/>
      <c r="E111" s="205"/>
      <c r="F111" s="205"/>
      <c r="G111" s="205"/>
      <c r="H111" s="205"/>
      <c r="I111" s="205"/>
    </row>
    <row r="112" spans="1:9">
      <c r="A112" s="98"/>
      <c r="B112" s="229"/>
      <c r="C112" s="205"/>
      <c r="D112" s="205"/>
      <c r="E112" s="205"/>
      <c r="F112" s="205"/>
      <c r="G112" s="205"/>
      <c r="H112" s="205"/>
      <c r="I112" s="205"/>
    </row>
    <row r="113" spans="1:23">
      <c r="A113" s="100" t="s">
        <v>183</v>
      </c>
      <c r="B113" s="98"/>
      <c r="C113" s="98"/>
      <c r="D113" s="98"/>
      <c r="E113" s="98"/>
      <c r="F113" s="98"/>
      <c r="G113" s="98"/>
      <c r="H113" s="98"/>
      <c r="I113" s="98"/>
    </row>
    <row r="114" spans="1:23">
      <c r="A114" s="98" t="s">
        <v>406</v>
      </c>
      <c r="B114" s="229">
        <v>0</v>
      </c>
      <c r="C114" s="205">
        <f>SUM(C62:C110)*$B$114</f>
        <v>0</v>
      </c>
      <c r="D114" s="205">
        <f t="shared" ref="D114:I114" si="46">SUM(D62:D110)*$B$114</f>
        <v>0</v>
      </c>
      <c r="E114" s="205">
        <f t="shared" si="46"/>
        <v>0</v>
      </c>
      <c r="F114" s="205">
        <f t="shared" si="46"/>
        <v>0</v>
      </c>
      <c r="G114" s="205">
        <f t="shared" si="46"/>
        <v>0</v>
      </c>
      <c r="H114" s="205">
        <f t="shared" si="46"/>
        <v>0</v>
      </c>
      <c r="I114" s="205">
        <f t="shared" si="46"/>
        <v>0</v>
      </c>
    </row>
    <row r="115" spans="1:23">
      <c r="A115" s="98" t="s">
        <v>177</v>
      </c>
      <c r="B115" s="229">
        <v>0</v>
      </c>
      <c r="C115" s="205">
        <f>SUM(C62:C110)*$B$115</f>
        <v>0</v>
      </c>
      <c r="D115" s="205">
        <f t="shared" ref="D115:I115" si="47">SUM(D62:D110)*$B$115</f>
        <v>0</v>
      </c>
      <c r="E115" s="205">
        <f t="shared" si="47"/>
        <v>0</v>
      </c>
      <c r="F115" s="205">
        <f t="shared" si="47"/>
        <v>0</v>
      </c>
      <c r="G115" s="205">
        <f t="shared" si="47"/>
        <v>0</v>
      </c>
      <c r="H115" s="205">
        <f t="shared" si="47"/>
        <v>0</v>
      </c>
      <c r="I115" s="205">
        <f t="shared" si="47"/>
        <v>0</v>
      </c>
    </row>
    <row r="116" spans="1:23">
      <c r="A116" s="98" t="s">
        <v>179</v>
      </c>
      <c r="B116" s="229">
        <v>0</v>
      </c>
      <c r="C116" s="205">
        <f>SUM(C62:C110)*$B$116</f>
        <v>0</v>
      </c>
      <c r="D116" s="205">
        <f t="shared" ref="D116:I116" si="48">SUM(D62:D110)*$B$116</f>
        <v>0</v>
      </c>
      <c r="E116" s="205">
        <f t="shared" si="48"/>
        <v>0</v>
      </c>
      <c r="F116" s="205">
        <f t="shared" si="48"/>
        <v>0</v>
      </c>
      <c r="G116" s="205">
        <f t="shared" si="48"/>
        <v>0</v>
      </c>
      <c r="H116" s="205">
        <f t="shared" si="48"/>
        <v>0</v>
      </c>
      <c r="I116" s="205">
        <f t="shared" si="48"/>
        <v>0</v>
      </c>
    </row>
    <row r="117" spans="1:23">
      <c r="A117" s="100" t="s">
        <v>178</v>
      </c>
      <c r="B117" s="229"/>
      <c r="C117" s="98"/>
      <c r="D117" s="98"/>
      <c r="E117" s="98"/>
      <c r="F117" s="98"/>
      <c r="G117" s="98"/>
      <c r="H117" s="98"/>
      <c r="I117" s="98"/>
    </row>
    <row r="118" spans="1:23">
      <c r="A118" s="98" t="s">
        <v>184</v>
      </c>
      <c r="B118" s="229">
        <v>0</v>
      </c>
      <c r="C118" s="205">
        <f>SUM(C62:C110)*$B$118</f>
        <v>0</v>
      </c>
      <c r="D118" s="205">
        <f t="shared" ref="D118:I118" si="49">SUM(D62:D110)*$B$118</f>
        <v>0</v>
      </c>
      <c r="E118" s="205">
        <f t="shared" si="49"/>
        <v>0</v>
      </c>
      <c r="F118" s="205">
        <f t="shared" si="49"/>
        <v>0</v>
      </c>
      <c r="G118" s="205">
        <f t="shared" si="49"/>
        <v>0</v>
      </c>
      <c r="H118" s="205">
        <f t="shared" si="49"/>
        <v>0</v>
      </c>
      <c r="I118" s="205">
        <f t="shared" si="49"/>
        <v>0</v>
      </c>
    </row>
    <row r="119" spans="1:23">
      <c r="A119" s="98" t="s">
        <v>185</v>
      </c>
      <c r="B119" s="229">
        <v>0</v>
      </c>
      <c r="C119" s="205">
        <f>SUM(C62:C110)*$B$119</f>
        <v>0</v>
      </c>
      <c r="D119" s="205">
        <f t="shared" ref="D119:I119" si="50">SUM(D62:D110)*$B$119</f>
        <v>0</v>
      </c>
      <c r="E119" s="205">
        <f t="shared" si="50"/>
        <v>0</v>
      </c>
      <c r="F119" s="205">
        <f t="shared" si="50"/>
        <v>0</v>
      </c>
      <c r="G119" s="205">
        <f t="shared" si="50"/>
        <v>0</v>
      </c>
      <c r="H119" s="205">
        <f t="shared" si="50"/>
        <v>0</v>
      </c>
      <c r="I119" s="205">
        <f t="shared" si="50"/>
        <v>0</v>
      </c>
    </row>
    <row r="122" spans="1:23" ht="18.75">
      <c r="A122" s="412" t="s">
        <v>582</v>
      </c>
      <c r="B122" s="412"/>
      <c r="C122" s="412"/>
      <c r="D122" s="412"/>
      <c r="E122" s="412"/>
      <c r="F122" s="412"/>
      <c r="G122" s="412"/>
      <c r="H122" s="412"/>
      <c r="I122" s="412"/>
      <c r="J122" s="412"/>
    </row>
    <row r="123" spans="1:23">
      <c r="A123" s="31"/>
      <c r="B123" s="62"/>
      <c r="C123" s="31"/>
      <c r="D123" s="31"/>
      <c r="E123" s="31"/>
      <c r="F123" s="31"/>
      <c r="G123" s="31"/>
      <c r="H123" s="31"/>
    </row>
    <row r="124" spans="1:23">
      <c r="A124" s="191"/>
      <c r="B124" s="191"/>
      <c r="C124" s="191"/>
      <c r="D124" s="192">
        <v>1</v>
      </c>
      <c r="E124" s="193">
        <f>(D124*5%)+D124</f>
        <v>1.05</v>
      </c>
      <c r="F124" s="193">
        <f t="shared" ref="F124:J124" si="51">(E124*5%)+E124</f>
        <v>1.1025</v>
      </c>
      <c r="G124" s="193">
        <f t="shared" si="51"/>
        <v>1.1576250000000001</v>
      </c>
      <c r="H124" s="193">
        <f t="shared" si="51"/>
        <v>1.2155062500000002</v>
      </c>
      <c r="I124" s="193">
        <f t="shared" si="51"/>
        <v>1.2762815625000004</v>
      </c>
      <c r="J124" s="193">
        <f t="shared" si="51"/>
        <v>1.3400956406250004</v>
      </c>
      <c r="K124" s="93"/>
      <c r="U124" s="93"/>
      <c r="V124" s="93"/>
      <c r="W124" s="93"/>
    </row>
    <row r="125" spans="1:23">
      <c r="A125" s="93"/>
      <c r="B125" s="93"/>
      <c r="C125" s="93"/>
      <c r="D125" s="93"/>
      <c r="E125" s="93"/>
      <c r="F125" s="93"/>
      <c r="G125" s="93"/>
      <c r="H125" s="93"/>
      <c r="I125" s="93"/>
      <c r="J125" s="93"/>
      <c r="K125" s="93"/>
      <c r="U125" s="93"/>
      <c r="V125" s="93"/>
      <c r="W125" s="93"/>
    </row>
    <row r="126" spans="1:23">
      <c r="A126" s="147" t="s">
        <v>0</v>
      </c>
      <c r="B126" s="147" t="s">
        <v>132</v>
      </c>
      <c r="C126" s="147" t="s">
        <v>151</v>
      </c>
      <c r="D126" s="119" t="s">
        <v>2</v>
      </c>
      <c r="E126" s="119" t="s">
        <v>3</v>
      </c>
      <c r="F126" s="119" t="s">
        <v>4</v>
      </c>
      <c r="G126" s="119" t="s">
        <v>5</v>
      </c>
      <c r="H126" s="119" t="s">
        <v>6</v>
      </c>
      <c r="I126" s="119" t="s">
        <v>167</v>
      </c>
      <c r="J126" s="119" t="s">
        <v>166</v>
      </c>
      <c r="K126" s="93"/>
      <c r="U126" s="93"/>
      <c r="V126" s="93"/>
      <c r="W126" s="93"/>
    </row>
    <row r="127" spans="1:23">
      <c r="A127" s="96" t="s">
        <v>127</v>
      </c>
      <c r="B127" s="94"/>
      <c r="C127" s="94"/>
      <c r="D127" s="94"/>
      <c r="E127" s="94"/>
      <c r="F127" s="94"/>
      <c r="G127" s="94"/>
      <c r="H127" s="94"/>
      <c r="I127" s="94"/>
      <c r="J127" s="94"/>
      <c r="K127" s="93"/>
      <c r="U127" s="93"/>
      <c r="V127" s="93"/>
      <c r="W127" s="93"/>
    </row>
    <row r="128" spans="1:23">
      <c r="A128" s="94" t="s">
        <v>286</v>
      </c>
      <c r="B128" s="94"/>
      <c r="C128" s="94"/>
      <c r="D128" s="94"/>
      <c r="E128" s="94"/>
      <c r="F128" s="94"/>
      <c r="G128" s="94"/>
      <c r="H128" s="94"/>
      <c r="I128" s="94"/>
      <c r="J128" s="94"/>
      <c r="K128" s="93"/>
      <c r="U128" s="93"/>
      <c r="V128" s="93"/>
      <c r="W128" s="93"/>
    </row>
    <row r="129" spans="1:23">
      <c r="A129" s="96" t="str">
        <f t="shared" ref="A129:A160" si="52">A8</f>
        <v>Kharif Crops</v>
      </c>
      <c r="B129" s="94"/>
      <c r="C129" s="94"/>
      <c r="D129" s="94"/>
      <c r="E129" s="94"/>
      <c r="F129" s="94"/>
      <c r="G129" s="94"/>
      <c r="H129" s="94"/>
      <c r="I129" s="94"/>
      <c r="J129" s="94"/>
      <c r="K129" s="93"/>
      <c r="U129" s="93"/>
      <c r="V129" s="93"/>
      <c r="W129" s="93"/>
    </row>
    <row r="130" spans="1:23">
      <c r="A130" s="94" t="str">
        <f t="shared" si="52"/>
        <v>Soybean</v>
      </c>
      <c r="B130" s="94"/>
      <c r="C130" s="229">
        <v>90</v>
      </c>
      <c r="D130" s="95">
        <f>(C62*(1-'5.Closing Stock &amp; W Capital'!$D$14))*$C$130*D$124</f>
        <v>0</v>
      </c>
      <c r="E130" s="95">
        <f>(D62*(1-'5.Closing Stock &amp; W Capital'!$D$14))*$C$130*E$124</f>
        <v>0</v>
      </c>
      <c r="F130" s="95">
        <f>(E62*(1-'5.Closing Stock &amp; W Capital'!$D$14))*$C$130*F$124</f>
        <v>0</v>
      </c>
      <c r="G130" s="95">
        <f>(F62*(1-'5.Closing Stock &amp; W Capital'!$D$14))*$C$130*G$124</f>
        <v>0</v>
      </c>
      <c r="H130" s="95">
        <f>(G62*(1-'5.Closing Stock &amp; W Capital'!$D$14))*$C$130*H$124</f>
        <v>0</v>
      </c>
      <c r="I130" s="95">
        <f>(H62*(1-'5.Closing Stock &amp; W Capital'!$D$14))*$C$130*I$124</f>
        <v>0</v>
      </c>
      <c r="J130" s="95">
        <f>(I62*(1-'5.Closing Stock &amp; W Capital'!$D$14))*$C$130*J$124</f>
        <v>0</v>
      </c>
      <c r="K130" s="93"/>
      <c r="U130" s="93"/>
      <c r="V130" s="93"/>
      <c r="W130" s="93"/>
    </row>
    <row r="131" spans="1:23">
      <c r="A131" s="94" t="str">
        <f t="shared" si="52"/>
        <v>Tur</v>
      </c>
      <c r="B131" s="94"/>
      <c r="C131" s="247">
        <v>80</v>
      </c>
      <c r="D131" s="95">
        <f>(C63*(1-'5.Closing Stock &amp; W Capital'!$D$14))*$C$131*D$124</f>
        <v>0</v>
      </c>
      <c r="E131" s="95">
        <f>((D63*(1-'5.Closing Stock &amp; W Capital'!$D$14))+(C63*'5.Closing Stock &amp; W Capital'!$D$14))*$C$131*E$124</f>
        <v>0</v>
      </c>
      <c r="F131" s="95">
        <f>((E63*(1-'5.Closing Stock &amp; W Capital'!$D$14))+(D63*'5.Closing Stock &amp; W Capital'!$D$14))*$C$131*F$124</f>
        <v>0</v>
      </c>
      <c r="G131" s="95">
        <f>((F63*(1-'5.Closing Stock &amp; W Capital'!$D$14))+(E63*'5.Closing Stock &amp; W Capital'!$D$14))*$C$131*G124</f>
        <v>0</v>
      </c>
      <c r="H131" s="95">
        <f>((G63*(1-'5.Closing Stock &amp; W Capital'!$D$14))+(F63*'5.Closing Stock &amp; W Capital'!$D$14))*$C$131*H124</f>
        <v>0</v>
      </c>
      <c r="I131" s="95">
        <f>((H63*(1-'5.Closing Stock &amp; W Capital'!$D$14))+(G63*'5.Closing Stock &amp; W Capital'!$D$14))*$C$131*I124</f>
        <v>0</v>
      </c>
      <c r="J131" s="95">
        <f>((I63*(1-'5.Closing Stock &amp; W Capital'!$D$14))+(H63*'5.Closing Stock &amp; W Capital'!$D$14))*$C$131*J124</f>
        <v>0</v>
      </c>
      <c r="K131" s="93"/>
      <c r="U131" s="178"/>
      <c r="V131" s="93"/>
      <c r="W131" s="93"/>
    </row>
    <row r="132" spans="1:23">
      <c r="A132" s="94" t="str">
        <f t="shared" si="52"/>
        <v>Turmeric</v>
      </c>
      <c r="B132" s="94"/>
      <c r="C132" s="247">
        <v>65</v>
      </c>
      <c r="D132" s="95">
        <f>(C64*(1-'5.Closing Stock &amp; W Capital'!$D$14))*$C$132*D$124</f>
        <v>0</v>
      </c>
      <c r="E132" s="95">
        <f>((D64*(1-'5.Closing Stock &amp; W Capital'!$D$14))+(C64*'5.Closing Stock &amp; W Capital'!$D$14))*$C$132*E$124</f>
        <v>0</v>
      </c>
      <c r="F132" s="95">
        <f>((E64*(1-'5.Closing Stock &amp; W Capital'!$D$14))+(D64*'5.Closing Stock &amp; W Capital'!$D$14))*$C$132*F$124</f>
        <v>0</v>
      </c>
      <c r="G132" s="95">
        <f>((F64*(1-'5.Closing Stock &amp; W Capital'!$D$14))+(E64*'5.Closing Stock &amp; W Capital'!$D$14))*$C$132*G124</f>
        <v>0</v>
      </c>
      <c r="H132" s="95">
        <f>((G64*(1-'5.Closing Stock &amp; W Capital'!$D$14))+(F64*'5.Closing Stock &amp; W Capital'!$D$14))*$C$132*H124</f>
        <v>0</v>
      </c>
      <c r="I132" s="95">
        <f>((H64*(1-'5.Closing Stock &amp; W Capital'!$D$14))+(G64*'5.Closing Stock &amp; W Capital'!$D$14))*$C$132*I124</f>
        <v>0</v>
      </c>
      <c r="J132" s="95">
        <f>((I64*(1-'5.Closing Stock &amp; W Capital'!$D$14))+(H64*'5.Closing Stock &amp; W Capital'!$D$14))*$C$132*J124</f>
        <v>0</v>
      </c>
      <c r="K132" s="93"/>
      <c r="U132" s="93"/>
      <c r="V132" s="93"/>
      <c r="W132" s="93"/>
    </row>
    <row r="133" spans="1:23">
      <c r="A133" s="94" t="str">
        <f t="shared" si="52"/>
        <v>Moong</v>
      </c>
      <c r="B133" s="94"/>
      <c r="C133" s="247">
        <v>85</v>
      </c>
      <c r="D133" s="95">
        <f>(C65*(1-'5.Closing Stock &amp; W Capital'!$D$14))*$C$133*D$124</f>
        <v>0</v>
      </c>
      <c r="E133" s="95">
        <f>((D65*(1-'5.Closing Stock &amp; W Capital'!$D$14))+(C65*'5.Closing Stock &amp; W Capital'!$D$14))*$C$133*E$124</f>
        <v>0</v>
      </c>
      <c r="F133" s="95">
        <f>((E65*(1-'5.Closing Stock &amp; W Capital'!$D$14))+(D65*'5.Closing Stock &amp; W Capital'!$D$14))*$C$133*F$124</f>
        <v>0</v>
      </c>
      <c r="G133" s="95">
        <f>((F65*(1-'5.Closing Stock &amp; W Capital'!$D$14))+(E65*'5.Closing Stock &amp; W Capital'!$D$14))*$C$133*G$124</f>
        <v>0</v>
      </c>
      <c r="H133" s="95">
        <f>((G65*(1-'5.Closing Stock &amp; W Capital'!$D$14))+(F65*'5.Closing Stock &amp; W Capital'!$D$14))*$C$133*H$124</f>
        <v>0</v>
      </c>
      <c r="I133" s="95">
        <f>((H65*(1-'5.Closing Stock &amp; W Capital'!$D$14))+(G65*'5.Closing Stock &amp; W Capital'!$D$14))*$C$133*I$124</f>
        <v>0</v>
      </c>
      <c r="J133" s="95">
        <f>((I65*(1-'5.Closing Stock &amp; W Capital'!$D$14))+(H65*'5.Closing Stock &amp; W Capital'!$D$14))*$C$133*J$124</f>
        <v>0</v>
      </c>
      <c r="K133" s="93"/>
      <c r="U133" s="93"/>
      <c r="V133" s="93"/>
      <c r="W133" s="93"/>
    </row>
    <row r="134" spans="1:23">
      <c r="A134" s="94" t="str">
        <f t="shared" si="52"/>
        <v>Maize</v>
      </c>
      <c r="B134" s="94"/>
      <c r="C134" s="247">
        <v>37</v>
      </c>
      <c r="D134" s="95">
        <f>(C66*(1-'5.Closing Stock &amp; W Capital'!$D$14))*$C$134*D$124</f>
        <v>0</v>
      </c>
      <c r="E134" s="95">
        <f>((D66*(1-'5.Closing Stock &amp; W Capital'!$D$14))+(C66*'5.Closing Stock &amp; W Capital'!$D$14))*$C$135*E$124</f>
        <v>0</v>
      </c>
      <c r="F134" s="95">
        <f>((E66*(1-'5.Closing Stock &amp; W Capital'!$D$14))+(D66*'5.Closing Stock &amp; W Capital'!$D$14))*$C$135*F$124</f>
        <v>0</v>
      </c>
      <c r="G134" s="95">
        <f>((F66*(1-'5.Closing Stock &amp; W Capital'!$D$14))+(E66*'5.Closing Stock &amp; W Capital'!$D$14))*$C$135*G$124</f>
        <v>0</v>
      </c>
      <c r="H134" s="95">
        <f>((G66*(1-'5.Closing Stock &amp; W Capital'!$D$14))+(F66*'5.Closing Stock &amp; W Capital'!$D$14))*$C$135*H$124</f>
        <v>0</v>
      </c>
      <c r="I134" s="95">
        <f>((H66*(1-'5.Closing Stock &amp; W Capital'!$D$14))+(G66*'5.Closing Stock &amp; W Capital'!$D$14))*$C$135*I$124</f>
        <v>0</v>
      </c>
      <c r="J134" s="95">
        <f>((I66*(1-'5.Closing Stock &amp; W Capital'!$D$14))+(H66*'5.Closing Stock &amp; W Capital'!$D$14))*$C$135*J$124</f>
        <v>0</v>
      </c>
      <c r="K134" s="93"/>
      <c r="U134" s="93"/>
      <c r="V134" s="93"/>
      <c r="W134" s="93"/>
    </row>
    <row r="135" spans="1:23">
      <c r="A135" s="94" t="str">
        <f t="shared" si="52"/>
        <v>Udid</v>
      </c>
      <c r="B135" s="94"/>
      <c r="C135" s="247">
        <v>75</v>
      </c>
      <c r="D135" s="95">
        <f>(C67*(1-'5.Closing Stock &amp; W Capital'!$D$14))*$C$135*D$124</f>
        <v>0</v>
      </c>
      <c r="E135" s="95">
        <f>((D67*(1-'5.Closing Stock &amp; W Capital'!$D$14))+(C67*'5.Closing Stock &amp; W Capital'!$D$14))*$C$135*E$124</f>
        <v>0</v>
      </c>
      <c r="F135" s="95">
        <f>((E67*(1-'5.Closing Stock &amp; W Capital'!$D$14))+(D67*'5.Closing Stock &amp; W Capital'!$D$14))*$C$135*F$124</f>
        <v>0</v>
      </c>
      <c r="G135" s="95">
        <f>((F67*(1-'5.Closing Stock &amp; W Capital'!$D$14))+(E67*'5.Closing Stock &amp; W Capital'!$D$14))*$C$135*G$124</f>
        <v>0</v>
      </c>
      <c r="H135" s="95">
        <f>((G67*(1-'5.Closing Stock &amp; W Capital'!$D$14))+(F67*'5.Closing Stock &amp; W Capital'!$D$14))*$C$135*H$124</f>
        <v>0</v>
      </c>
      <c r="I135" s="95">
        <f>((H67*(1-'5.Closing Stock &amp; W Capital'!$D$14))+(G67*'5.Closing Stock &amp; W Capital'!$D$14))*$C$135*I$124</f>
        <v>0</v>
      </c>
      <c r="J135" s="95">
        <f>((I67*(1-'5.Closing Stock &amp; W Capital'!$D$14))+(H67*'5.Closing Stock &amp; W Capital'!$D$14))*$C$135*J$124</f>
        <v>0</v>
      </c>
      <c r="K135" s="93"/>
      <c r="U135" s="93"/>
      <c r="V135" s="93"/>
      <c r="W135" s="93"/>
    </row>
    <row r="136" spans="1:23">
      <c r="A136" s="94" t="str">
        <f t="shared" si="52"/>
        <v>Bajra</v>
      </c>
      <c r="B136" s="94"/>
      <c r="C136" s="247">
        <v>30</v>
      </c>
      <c r="D136" s="95">
        <f>(C68*(1-'5.Closing Stock &amp; W Capital'!$D$14))*$C$136*D$124</f>
        <v>0</v>
      </c>
      <c r="E136" s="95">
        <f>((D68*(1-'5.Closing Stock &amp; W Capital'!$D$14))+(C68*'5.Closing Stock &amp; W Capital'!$D$14))*$C$136*E$124</f>
        <v>0</v>
      </c>
      <c r="F136" s="95">
        <f>((E68*(1-'5.Closing Stock &amp; W Capital'!$D$14))+(D68*'5.Closing Stock &amp; W Capital'!$D$14))*$C$136*F$124</f>
        <v>0</v>
      </c>
      <c r="G136" s="95">
        <f>((F68*(1-'5.Closing Stock &amp; W Capital'!$D$14))+(E68*'5.Closing Stock &amp; W Capital'!$D$14))*$C$136*G$124</f>
        <v>0</v>
      </c>
      <c r="H136" s="95">
        <f>((G68*(1-'5.Closing Stock &amp; W Capital'!$D$14))+(F68*'5.Closing Stock &amp; W Capital'!$D$14))*$C$136*H$124</f>
        <v>0</v>
      </c>
      <c r="I136" s="95">
        <f>((H68*(1-'5.Closing Stock &amp; W Capital'!$D$14))+(G68*'5.Closing Stock &amp; W Capital'!$D$14))*$C$136*I$124</f>
        <v>0</v>
      </c>
      <c r="J136" s="95">
        <f>((I68*(1-'5.Closing Stock &amp; W Capital'!$D$14))+(H68*'5.Closing Stock &amp; W Capital'!$D$14))*$C$136*J$124</f>
        <v>0</v>
      </c>
      <c r="K136" s="93"/>
      <c r="U136" s="93"/>
      <c r="V136" s="93"/>
      <c r="W136" s="93"/>
    </row>
    <row r="137" spans="1:23">
      <c r="A137" s="94" t="str">
        <f t="shared" si="52"/>
        <v>Jawar</v>
      </c>
      <c r="B137" s="94"/>
      <c r="C137" s="247">
        <v>30</v>
      </c>
      <c r="D137" s="95">
        <f>(C69*(1-'5.Closing Stock &amp; W Capital'!$D$14))*$C$137*D$124</f>
        <v>0</v>
      </c>
      <c r="E137" s="95">
        <f>((D69*(1-'5.Closing Stock &amp; W Capital'!$D$14))+(C69*'5.Closing Stock &amp; W Capital'!$D$14))*$C$137*E$124</f>
        <v>0</v>
      </c>
      <c r="F137" s="95">
        <f>((E69*(1-'5.Closing Stock &amp; W Capital'!$D$14))+(D69*'5.Closing Stock &amp; W Capital'!$D$14))*$C$137*F$124</f>
        <v>0</v>
      </c>
      <c r="G137" s="95">
        <f>((F69*(1-'5.Closing Stock &amp; W Capital'!$D$14))+(E69*'5.Closing Stock &amp; W Capital'!$D$14))*$C$137*G$124</f>
        <v>0</v>
      </c>
      <c r="H137" s="95">
        <f>((G69*(1-'5.Closing Stock &amp; W Capital'!$D$14))+(F69*'5.Closing Stock &amp; W Capital'!$D$14))*$C$137*H$124</f>
        <v>0</v>
      </c>
      <c r="I137" s="95">
        <f>((H69*(1-'5.Closing Stock &amp; W Capital'!$D$14))+(G69*'5.Closing Stock &amp; W Capital'!$D$14))*$C$137*I$124</f>
        <v>0</v>
      </c>
      <c r="J137" s="95">
        <f>((I69*(1-'5.Closing Stock &amp; W Capital'!$D$14))+(H69*'5.Closing Stock &amp; W Capital'!$D$14))*$C$137*J$124</f>
        <v>0</v>
      </c>
      <c r="K137" s="93"/>
      <c r="U137" s="93"/>
      <c r="V137" s="93"/>
      <c r="W137" s="93"/>
    </row>
    <row r="138" spans="1:23">
      <c r="A138" s="96" t="str">
        <f t="shared" si="52"/>
        <v>Rabi Crop</v>
      </c>
      <c r="B138" s="94"/>
      <c r="C138" s="247"/>
      <c r="D138" s="95"/>
      <c r="E138" s="95"/>
      <c r="F138" s="95"/>
      <c r="G138" s="95"/>
      <c r="H138" s="95"/>
      <c r="I138" s="95"/>
      <c r="J138" s="95"/>
      <c r="K138" s="93"/>
      <c r="U138" s="93"/>
      <c r="V138" s="93"/>
      <c r="W138" s="93"/>
    </row>
    <row r="139" spans="1:23">
      <c r="A139" s="94" t="str">
        <f t="shared" si="52"/>
        <v>Wheat</v>
      </c>
      <c r="B139" s="94"/>
      <c r="C139" s="247">
        <v>40</v>
      </c>
      <c r="D139" s="95">
        <f>(C71*(1-'5.Closing Stock &amp; W Capital'!$D$14))*$C$139*D$124</f>
        <v>0</v>
      </c>
      <c r="E139" s="95">
        <f>((D71*(1-'5.Closing Stock &amp; W Capital'!$D$14))+(C71*'5.Closing Stock &amp; W Capital'!$D$14))*$C$139*E$124</f>
        <v>0</v>
      </c>
      <c r="F139" s="95">
        <f>((E71*(1-'5.Closing Stock &amp; W Capital'!$D$14))+(D71*'5.Closing Stock &amp; W Capital'!$D$14))*$C$139*F$124</f>
        <v>0</v>
      </c>
      <c r="G139" s="95">
        <f>((F71*(1-'5.Closing Stock &amp; W Capital'!$D$14))+(E71*'5.Closing Stock &amp; W Capital'!$D$14))*$C$139*G$124</f>
        <v>0</v>
      </c>
      <c r="H139" s="95">
        <f>((G71*(1-'5.Closing Stock &amp; W Capital'!$D$14))+(F71*'5.Closing Stock &amp; W Capital'!$D$14))*$C$139*H$124</f>
        <v>0</v>
      </c>
      <c r="I139" s="95">
        <f>((H71*(1-'5.Closing Stock &amp; W Capital'!$D$14))+(G71*'5.Closing Stock &amp; W Capital'!$D$14))*$C$139*I$124</f>
        <v>0</v>
      </c>
      <c r="J139" s="95">
        <f>((I71*(1-'5.Closing Stock &amp; W Capital'!$D$14))+(H71*'5.Closing Stock &amp; W Capital'!$D$14))*$C$139*J$124</f>
        <v>0</v>
      </c>
      <c r="K139" s="93"/>
      <c r="U139" s="93"/>
      <c r="V139" s="93"/>
      <c r="W139" s="93"/>
    </row>
    <row r="140" spans="1:23">
      <c r="A140" s="94" t="str">
        <f t="shared" si="52"/>
        <v>Channa</v>
      </c>
      <c r="B140" s="94"/>
      <c r="C140" s="247">
        <v>75</v>
      </c>
      <c r="D140" s="95">
        <f>(C72*(1-'5.Closing Stock &amp; W Capital'!$D$14))*$C$140*D$124</f>
        <v>0</v>
      </c>
      <c r="E140" s="95">
        <f>((D72*(1-'5.Closing Stock &amp; W Capital'!$D$14))+(C72*'5.Closing Stock &amp; W Capital'!$D$14))*$C$140*E$124</f>
        <v>0</v>
      </c>
      <c r="F140" s="95">
        <f>((E72*(1-'5.Closing Stock &amp; W Capital'!$D$14))+(D72*'5.Closing Stock &amp; W Capital'!$D$14))*$C$140*F$124</f>
        <v>0</v>
      </c>
      <c r="G140" s="95">
        <f>((F72*(1-'5.Closing Stock &amp; W Capital'!$D$14))+(E72*'5.Closing Stock &amp; W Capital'!$D$14))*$C$140*G$124</f>
        <v>0</v>
      </c>
      <c r="H140" s="95">
        <f>((G72*(1-'5.Closing Stock &amp; W Capital'!$D$14))+(F72*'5.Closing Stock &amp; W Capital'!$D$14))*$C$140*H$124</f>
        <v>0</v>
      </c>
      <c r="I140" s="95">
        <f>((H72*(1-'5.Closing Stock &amp; W Capital'!$D$14))+(G72*'5.Closing Stock &amp; W Capital'!$D$14))*$C$140*I$124</f>
        <v>0</v>
      </c>
      <c r="J140" s="95">
        <f>((I72*(1-'5.Closing Stock &amp; W Capital'!$D$14))+(H72*'5.Closing Stock &amp; W Capital'!$D$14))*$C$140*J$124</f>
        <v>0</v>
      </c>
      <c r="K140" s="93"/>
      <c r="U140" s="93"/>
      <c r="V140" s="93"/>
      <c r="W140" s="93"/>
    </row>
    <row r="141" spans="1:23">
      <c r="A141" s="94" t="str">
        <f t="shared" si="52"/>
        <v>Jawar</v>
      </c>
      <c r="B141" s="94"/>
      <c r="C141" s="247">
        <v>27</v>
      </c>
      <c r="D141" s="95">
        <f>(C73*(1-'5.Closing Stock &amp; W Capital'!$D$14))*$C$141*D$124</f>
        <v>0</v>
      </c>
      <c r="E141" s="95">
        <f>((D73*(1-'5.Closing Stock &amp; W Capital'!$D$14))+(C73*'5.Closing Stock &amp; W Capital'!$D$14))*$C$141*E$124</f>
        <v>0</v>
      </c>
      <c r="F141" s="95">
        <f>((E73*(1-'5.Closing Stock &amp; W Capital'!$D$14))+(D73*'5.Closing Stock &amp; W Capital'!$D$14))*$C$141*F$124</f>
        <v>0</v>
      </c>
      <c r="G141" s="95">
        <f>((F73*(1-'5.Closing Stock &amp; W Capital'!$D$14))+(E73*'5.Closing Stock &amp; W Capital'!$D$14))*$C$141*G$124</f>
        <v>0</v>
      </c>
      <c r="H141" s="95">
        <f>((G73*(1-'5.Closing Stock &amp; W Capital'!$D$14))+(F73*'5.Closing Stock &amp; W Capital'!$D$14))*$C$141*H$124</f>
        <v>0</v>
      </c>
      <c r="I141" s="95">
        <f>((H73*(1-'5.Closing Stock &amp; W Capital'!$D$14))+(G73*'5.Closing Stock &amp; W Capital'!$D$14))*$C$141*I$124</f>
        <v>0</v>
      </c>
      <c r="J141" s="95">
        <f>((I73*(1-'5.Closing Stock &amp; W Capital'!$D$14))+(H73*'5.Closing Stock &amp; W Capital'!$D$14))*$C$141*J$124</f>
        <v>0</v>
      </c>
      <c r="K141" s="93"/>
      <c r="U141" s="93"/>
      <c r="V141" s="93"/>
      <c r="W141" s="93"/>
    </row>
    <row r="142" spans="1:23">
      <c r="A142" s="94" t="str">
        <f t="shared" si="52"/>
        <v>Maize</v>
      </c>
      <c r="B142" s="94"/>
      <c r="C142" s="247">
        <v>0</v>
      </c>
      <c r="D142" s="95">
        <f>(C74*(1-'5.Closing Stock &amp; W Capital'!$D$14))*$C$142*D$124</f>
        <v>0</v>
      </c>
      <c r="E142" s="95">
        <f>((D74*(1-'5.Closing Stock &amp; W Capital'!$D$14))+(C74*'5.Closing Stock &amp; W Capital'!$D$14))*$C$142*E$124</f>
        <v>0</v>
      </c>
      <c r="F142" s="95">
        <f>((E74*(1-'5.Closing Stock &amp; W Capital'!$D$14))+(D74*'5.Closing Stock &amp; W Capital'!$D$14))*$C$142*F$124</f>
        <v>0</v>
      </c>
      <c r="G142" s="95">
        <f>((F74*(1-'5.Closing Stock &amp; W Capital'!$D$14))+(E74*'5.Closing Stock &amp; W Capital'!$D$14))*$C$142*G$124</f>
        <v>0</v>
      </c>
      <c r="H142" s="95">
        <f>((G74*(1-'5.Closing Stock &amp; W Capital'!$D$14))+(F74*'5.Closing Stock &amp; W Capital'!$D$14))*$C$142*H$124</f>
        <v>0</v>
      </c>
      <c r="I142" s="95">
        <f>((H74*(1-'5.Closing Stock &amp; W Capital'!$D$14))+(G74*'5.Closing Stock &amp; W Capital'!$D$14))*$C$142*I$124</f>
        <v>0</v>
      </c>
      <c r="J142" s="95">
        <f>((I74*(1-'5.Closing Stock &amp; W Capital'!$D$14))+(H74*'5.Closing Stock &amp; W Capital'!$D$14))*$C$142*J$124</f>
        <v>0</v>
      </c>
      <c r="K142" s="93"/>
      <c r="U142" s="93"/>
      <c r="V142" s="93"/>
      <c r="W142" s="93"/>
    </row>
    <row r="143" spans="1:23">
      <c r="A143" s="94" t="str">
        <f t="shared" si="52"/>
        <v>Safflower</v>
      </c>
      <c r="B143" s="94"/>
      <c r="C143" s="247"/>
      <c r="D143" s="95">
        <f>(C75*(1-'5.Closing Stock &amp; W Capital'!$D$14))*$C$143*D$124</f>
        <v>0</v>
      </c>
      <c r="E143" s="95">
        <f>((D75*(1-'5.Closing Stock &amp; W Capital'!$D$14))+(C75*'5.Closing Stock &amp; W Capital'!$D$14))*$C$143*E$124</f>
        <v>0</v>
      </c>
      <c r="F143" s="95">
        <f>((E75*(1-'5.Closing Stock &amp; W Capital'!$D$14))+(D75*'5.Closing Stock &amp; W Capital'!$D$14))*$C$143*F$124</f>
        <v>0</v>
      </c>
      <c r="G143" s="95">
        <f>((F75*(1-'5.Closing Stock &amp; W Capital'!$D$14))+(E75*'5.Closing Stock &amp; W Capital'!$D$14))*$C$143*G$124</f>
        <v>0</v>
      </c>
      <c r="H143" s="95">
        <f>((G75*(1-'5.Closing Stock &amp; W Capital'!$D$14))+(F75*'5.Closing Stock &amp; W Capital'!$D$14))*$C$143*H$124</f>
        <v>0</v>
      </c>
      <c r="I143" s="95">
        <f>((H75*(1-'5.Closing Stock &amp; W Capital'!$D$14))+(G75*'5.Closing Stock &amp; W Capital'!$D$14))*$C$143*I$124</f>
        <v>0</v>
      </c>
      <c r="J143" s="95">
        <f>((I75*(1-'5.Closing Stock &amp; W Capital'!$D$14))+(H75*'5.Closing Stock &amp; W Capital'!$D$14))*$C$143*J$124</f>
        <v>0</v>
      </c>
      <c r="K143" s="93"/>
      <c r="U143" s="93"/>
      <c r="V143" s="93"/>
      <c r="W143" s="93"/>
    </row>
    <row r="144" spans="1:23">
      <c r="A144" s="94" t="str">
        <f t="shared" si="52"/>
        <v>Groundnut</v>
      </c>
      <c r="B144" s="94"/>
      <c r="C144" s="247"/>
      <c r="D144" s="95">
        <f>(C76*(1-'5.Closing Stock &amp; W Capital'!$D$14))*$C$144*D$124</f>
        <v>0</v>
      </c>
      <c r="E144" s="95">
        <f>((D76*(1-'5.Closing Stock &amp; W Capital'!$D$14))+(C76*'5.Closing Stock &amp; W Capital'!$D$14))*$C$144*E$124</f>
        <v>0</v>
      </c>
      <c r="F144" s="95">
        <f>((E76*(1-'5.Closing Stock &amp; W Capital'!$D$14))+(D76*'5.Closing Stock &amp; W Capital'!$D$14))*$C$144*F$124</f>
        <v>0</v>
      </c>
      <c r="G144" s="95">
        <f>((F76*(1-'5.Closing Stock &amp; W Capital'!$D$14))+(E76*'5.Closing Stock &amp; W Capital'!$D$14))*$C$144*G$124</f>
        <v>0</v>
      </c>
      <c r="H144" s="95">
        <f>((G76*(1-'5.Closing Stock &amp; W Capital'!$D$14))+(F76*'5.Closing Stock &amp; W Capital'!$D$14))*$C$144*H$124</f>
        <v>0</v>
      </c>
      <c r="I144" s="95">
        <f>((H76*(1-'5.Closing Stock &amp; W Capital'!$D$14))+(G76*'5.Closing Stock &amp; W Capital'!$D$14))*$C$144*I$124</f>
        <v>0</v>
      </c>
      <c r="J144" s="95">
        <f>((I76*(1-'5.Closing Stock &amp; W Capital'!$D$14))+(H76*'5.Closing Stock &amp; W Capital'!$D$14))*$C$144*J$124</f>
        <v>0</v>
      </c>
      <c r="K144" s="93"/>
      <c r="U144" s="93"/>
      <c r="V144" s="93"/>
      <c r="W144" s="93"/>
    </row>
    <row r="145" spans="1:23">
      <c r="A145" s="94">
        <f t="shared" si="52"/>
        <v>0</v>
      </c>
      <c r="B145" s="94"/>
      <c r="C145" s="247"/>
      <c r="D145" s="95">
        <f>(C77*(1-'5.Closing Stock &amp; W Capital'!$D$14))*$C$145*D$124</f>
        <v>0</v>
      </c>
      <c r="E145" s="95">
        <f>((D77*(1-'5.Closing Stock &amp; W Capital'!$D$14))+(C77*'5.Closing Stock &amp; W Capital'!$D$14))*$C$145*E$124</f>
        <v>0</v>
      </c>
      <c r="F145" s="95">
        <f>((E77*(1-'5.Closing Stock &amp; W Capital'!$D$14))+(D77*'5.Closing Stock &amp; W Capital'!$D$14))*$C$145*F$124</f>
        <v>0</v>
      </c>
      <c r="G145" s="95">
        <f>((F77*(1-'5.Closing Stock &amp; W Capital'!$D$14))+(E77*'5.Closing Stock &amp; W Capital'!$D$14))*$C$145*G$124</f>
        <v>0</v>
      </c>
      <c r="H145" s="95">
        <f>((G77*(1-'5.Closing Stock &amp; W Capital'!$D$14))+(F77*'5.Closing Stock &amp; W Capital'!$D$14))*$C$145*H$124</f>
        <v>0</v>
      </c>
      <c r="I145" s="95">
        <f>((H77*(1-'5.Closing Stock &amp; W Capital'!$D$14))+(G77*'5.Closing Stock &amp; W Capital'!$D$14))*$C$145*I$124</f>
        <v>0</v>
      </c>
      <c r="J145" s="95">
        <f>((I77*(1-'5.Closing Stock &amp; W Capital'!$D$14))+(H77*'5.Closing Stock &amp; W Capital'!$D$14))*$C$145*J$124</f>
        <v>0</v>
      </c>
      <c r="K145" s="93"/>
      <c r="U145" s="93"/>
      <c r="V145" s="93"/>
      <c r="W145" s="93"/>
    </row>
    <row r="146" spans="1:23">
      <c r="A146" s="94">
        <f t="shared" si="52"/>
        <v>0</v>
      </c>
      <c r="B146" s="94"/>
      <c r="C146" s="247"/>
      <c r="D146" s="95">
        <f>(C78*(1-'5.Closing Stock &amp; W Capital'!$D$14))*$C$146*D$124</f>
        <v>0</v>
      </c>
      <c r="E146" s="95">
        <f>((D78*(1-'5.Closing Stock &amp; W Capital'!$D$14))+(C78*'5.Closing Stock &amp; W Capital'!$D$14))*$C$146*E$124</f>
        <v>0</v>
      </c>
      <c r="F146" s="95">
        <f>((E78*(1-'5.Closing Stock &amp; W Capital'!$D$14))+(D78*'5.Closing Stock &amp; W Capital'!$D$14))*$C$146*F$124</f>
        <v>0</v>
      </c>
      <c r="G146" s="95">
        <f>((F78*(1-'5.Closing Stock &amp; W Capital'!$D$14))+(E78*'5.Closing Stock &amp; W Capital'!$D$14))*$C$146*G$124</f>
        <v>0</v>
      </c>
      <c r="H146" s="95">
        <f>((G78*(1-'5.Closing Stock &amp; W Capital'!$D$14))+(F78*'5.Closing Stock &amp; W Capital'!$D$14))*$C$146*H$124</f>
        <v>0</v>
      </c>
      <c r="I146" s="95">
        <f>((H78*(1-'5.Closing Stock &amp; W Capital'!$D$14))+(G78*'5.Closing Stock &amp; W Capital'!$D$14))*$C$146*I$124</f>
        <v>0</v>
      </c>
      <c r="J146" s="95">
        <f>((I78*(1-'5.Closing Stock &amp; W Capital'!$D$14))+(H78*'5.Closing Stock &amp; W Capital'!$D$14))*$C$146*J$124</f>
        <v>0</v>
      </c>
      <c r="K146" s="93"/>
      <c r="U146" s="93"/>
      <c r="V146" s="93"/>
      <c r="W146" s="93"/>
    </row>
    <row r="147" spans="1:23">
      <c r="A147" s="96" t="str">
        <f t="shared" si="52"/>
        <v>Summer</v>
      </c>
      <c r="B147" s="94"/>
      <c r="C147" s="247"/>
      <c r="D147" s="95"/>
      <c r="E147" s="95"/>
      <c r="F147" s="95"/>
      <c r="G147" s="95"/>
      <c r="H147" s="95"/>
      <c r="I147" s="95"/>
      <c r="J147" s="95"/>
      <c r="K147" s="93"/>
      <c r="U147" s="93"/>
      <c r="V147" s="93"/>
      <c r="W147" s="93"/>
    </row>
    <row r="148" spans="1:23">
      <c r="A148" s="94" t="str">
        <f t="shared" si="52"/>
        <v>Soybean</v>
      </c>
      <c r="B148" s="94"/>
      <c r="C148" s="247"/>
      <c r="D148" s="95">
        <f>(C80*(1-'5.Closing Stock &amp; W Capital'!$D$14))*$C$148*D$124</f>
        <v>0</v>
      </c>
      <c r="E148" s="95">
        <f>((D80*(1-'5.Closing Stock &amp; W Capital'!$D$14))+(C80*'5.Closing Stock &amp; W Capital'!$D$14))*$C$148*E$124</f>
        <v>0</v>
      </c>
      <c r="F148" s="95">
        <f>((E80*(1-'5.Closing Stock &amp; W Capital'!$D$14))+(D80*'5.Closing Stock &amp; W Capital'!$D$14))*$C$148*F$124</f>
        <v>0</v>
      </c>
      <c r="G148" s="95">
        <f>((F80*(1-'5.Closing Stock &amp; W Capital'!$D$14))+(E80*'5.Closing Stock &amp; W Capital'!$D$14))*$C$148*G$124</f>
        <v>0</v>
      </c>
      <c r="H148" s="95">
        <f>((G80*(1-'5.Closing Stock &amp; W Capital'!$D$14))+(F80*'5.Closing Stock &amp; W Capital'!$D$14))*$C$148*H$124</f>
        <v>0</v>
      </c>
      <c r="I148" s="95">
        <f>((H80*(1-'5.Closing Stock &amp; W Capital'!$D$14))+(G80*'5.Closing Stock &amp; W Capital'!$D$14))*$C$148*I$124</f>
        <v>0</v>
      </c>
      <c r="J148" s="95">
        <f>((I80*(1-'5.Closing Stock &amp; W Capital'!$D$14))+(H80*'5.Closing Stock &amp; W Capital'!$D$14))*$C$148*J$124</f>
        <v>0</v>
      </c>
      <c r="K148" s="93"/>
      <c r="U148" s="93"/>
      <c r="V148" s="93"/>
      <c r="W148" s="93"/>
    </row>
    <row r="149" spans="1:23">
      <c r="A149" s="94" t="str">
        <f t="shared" si="52"/>
        <v>Paddy</v>
      </c>
      <c r="B149" s="94"/>
      <c r="C149" s="247"/>
      <c r="D149" s="95">
        <f>(C81*(1-'5.Closing Stock &amp; W Capital'!$D$14))*$C$149*D$124</f>
        <v>0</v>
      </c>
      <c r="E149" s="95">
        <f>((D81*(1-'5.Closing Stock &amp; W Capital'!$D$14))+(C81*'5.Closing Stock &amp; W Capital'!$D$14))*$C$149*E$124</f>
        <v>0</v>
      </c>
      <c r="F149" s="95">
        <f>((E81*(1-'5.Closing Stock &amp; W Capital'!$D$14))+(D81*'5.Closing Stock &amp; W Capital'!$D$14))*$C$149*F$124</f>
        <v>0</v>
      </c>
      <c r="G149" s="95">
        <f>((F81*(1-'5.Closing Stock &amp; W Capital'!$D$14))+(E81*'5.Closing Stock &amp; W Capital'!$D$14))*$C$149*G$124</f>
        <v>0</v>
      </c>
      <c r="H149" s="95">
        <f>((G81*(1-'5.Closing Stock &amp; W Capital'!$D$14))+(F81*'5.Closing Stock &amp; W Capital'!$D$14))*$C$149*H$124</f>
        <v>0</v>
      </c>
      <c r="I149" s="95">
        <f>((H81*(1-'5.Closing Stock &amp; W Capital'!$D$14))+(G81*'5.Closing Stock &amp; W Capital'!$D$14))*$C$149*I$124</f>
        <v>0</v>
      </c>
      <c r="J149" s="95">
        <f>((I81*(1-'5.Closing Stock &amp; W Capital'!$D$14))+(H81*'5.Closing Stock &amp; W Capital'!$D$14))*$C$149*J$124</f>
        <v>0</v>
      </c>
      <c r="K149" s="93"/>
      <c r="U149" s="93"/>
      <c r="V149" s="93"/>
      <c r="W149" s="93"/>
    </row>
    <row r="150" spans="1:23">
      <c r="A150" s="94">
        <f t="shared" si="52"/>
        <v>0</v>
      </c>
      <c r="B150" s="94"/>
      <c r="C150" s="247"/>
      <c r="D150" s="95">
        <f>(C82*(1-'5.Closing Stock &amp; W Capital'!$D$14))*$C$150*D$124</f>
        <v>0</v>
      </c>
      <c r="E150" s="95">
        <f>((D82*(1-'5.Closing Stock &amp; W Capital'!$D$14))+(C82*'5.Closing Stock &amp; W Capital'!$D$14))*$C$150*E$124</f>
        <v>0</v>
      </c>
      <c r="F150" s="95">
        <f>((E82*(1-'5.Closing Stock &amp; W Capital'!$D$14))+(D82*'5.Closing Stock &amp; W Capital'!$D$14))*$C$150*F$124</f>
        <v>0</v>
      </c>
      <c r="G150" s="95">
        <f>((F82*(1-'5.Closing Stock &amp; W Capital'!$D$14))+(E82*'5.Closing Stock &amp; W Capital'!$D$14))*$C$150*G$124</f>
        <v>0</v>
      </c>
      <c r="H150" s="95">
        <f>((G82*(1-'5.Closing Stock &amp; W Capital'!$D$14))+(F82*'5.Closing Stock &amp; W Capital'!$D$14))*$C$150*H$124</f>
        <v>0</v>
      </c>
      <c r="I150" s="95">
        <f>((H82*(1-'5.Closing Stock &amp; W Capital'!$D$14))+(G82*'5.Closing Stock &amp; W Capital'!$D$14))*$C$150*I$124</f>
        <v>0</v>
      </c>
      <c r="J150" s="95">
        <f>((I82*(1-'5.Closing Stock &amp; W Capital'!$D$14))+(H82*'5.Closing Stock &amp; W Capital'!$D$14))*$C$150*J$124</f>
        <v>0</v>
      </c>
      <c r="K150" s="93"/>
      <c r="U150" s="93"/>
      <c r="V150" s="93"/>
      <c r="W150" s="93"/>
    </row>
    <row r="151" spans="1:23">
      <c r="A151" s="94">
        <f t="shared" si="52"/>
        <v>0</v>
      </c>
      <c r="B151" s="94"/>
      <c r="C151" s="247"/>
      <c r="D151" s="95">
        <f>(C83*(1-'5.Closing Stock &amp; W Capital'!$D$14))*$C$151*D$124</f>
        <v>0</v>
      </c>
      <c r="E151" s="95">
        <f>((D83*(1-'5.Closing Stock &amp; W Capital'!$D$14))+(C83*'5.Closing Stock &amp; W Capital'!$D$14))*$C$151*E$124</f>
        <v>0</v>
      </c>
      <c r="F151" s="95">
        <f>((E83*(1-'5.Closing Stock &amp; W Capital'!$D$14))+(D83*'5.Closing Stock &amp; W Capital'!$D$14))*$C$151*F$124</f>
        <v>0</v>
      </c>
      <c r="G151" s="95">
        <f>((F83*(1-'5.Closing Stock &amp; W Capital'!$D$14))+(E83*'5.Closing Stock &amp; W Capital'!$D$14))*$C$151*G$124</f>
        <v>0</v>
      </c>
      <c r="H151" s="95">
        <f>((G83*(1-'5.Closing Stock &amp; W Capital'!$D$14))+(F83*'5.Closing Stock &amp; W Capital'!$D$14))*$C$151*H$124</f>
        <v>0</v>
      </c>
      <c r="I151" s="95">
        <f>((H83*(1-'5.Closing Stock &amp; W Capital'!$D$14))+(G83*'5.Closing Stock &amp; W Capital'!$D$14))*$C$151*I$124</f>
        <v>0</v>
      </c>
      <c r="J151" s="95">
        <f>((I83*(1-'5.Closing Stock &amp; W Capital'!$D$14))+(H83*'5.Closing Stock &amp; W Capital'!$D$14))*$C$151*J$124</f>
        <v>0</v>
      </c>
      <c r="K151" s="93"/>
      <c r="U151" s="93"/>
      <c r="V151" s="93"/>
      <c r="W151" s="93"/>
    </row>
    <row r="152" spans="1:23">
      <c r="A152" s="94">
        <f t="shared" si="52"/>
        <v>0</v>
      </c>
      <c r="B152" s="94"/>
      <c r="C152" s="247"/>
      <c r="D152" s="95">
        <f>(C84*(1-'5.Closing Stock &amp; W Capital'!$D$14))*$C$152*D$124</f>
        <v>0</v>
      </c>
      <c r="E152" s="95">
        <f>((D84*(1-'5.Closing Stock &amp; W Capital'!$D$14))+(C84*'5.Closing Stock &amp; W Capital'!$D$14))*$C$152*E$124</f>
        <v>0</v>
      </c>
      <c r="F152" s="95">
        <f>((E84*(1-'5.Closing Stock &amp; W Capital'!$D$14))+(D84*'5.Closing Stock &amp; W Capital'!$D$14))*$C$152*F$124</f>
        <v>0</v>
      </c>
      <c r="G152" s="95">
        <f>((F84*(1-'5.Closing Stock &amp; W Capital'!$D$14))+(E84*'5.Closing Stock &amp; W Capital'!$D$14))*$C$152*G$124</f>
        <v>0</v>
      </c>
      <c r="H152" s="95">
        <f>((G84*(1-'5.Closing Stock &amp; W Capital'!$D$14))+(F84*'5.Closing Stock &amp; W Capital'!$D$14))*$C$152*H$124</f>
        <v>0</v>
      </c>
      <c r="I152" s="95">
        <f>((H84*(1-'5.Closing Stock &amp; W Capital'!$D$14))+(G84*'5.Closing Stock &amp; W Capital'!$D$14))*$C$152*I$124</f>
        <v>0</v>
      </c>
      <c r="J152" s="95">
        <f>((I84*(1-'5.Closing Stock &amp; W Capital'!$D$14))+(H84*'5.Closing Stock &amp; W Capital'!$D$14))*$C$152*J$124</f>
        <v>0</v>
      </c>
      <c r="K152" s="93"/>
      <c r="U152" s="93"/>
      <c r="V152" s="93"/>
      <c r="W152" s="93"/>
    </row>
    <row r="153" spans="1:23">
      <c r="A153" s="94" t="str">
        <f t="shared" si="52"/>
        <v>Fruit  &amp; Vegetables Crop Production Details</v>
      </c>
      <c r="B153" s="94"/>
      <c r="C153" s="247"/>
      <c r="D153" s="95"/>
      <c r="E153" s="95"/>
      <c r="F153" s="95"/>
      <c r="G153" s="95"/>
      <c r="H153" s="95"/>
      <c r="I153" s="95"/>
      <c r="J153" s="95"/>
      <c r="K153" s="93"/>
      <c r="U153" s="93"/>
      <c r="V153" s="93"/>
      <c r="W153" s="93"/>
    </row>
    <row r="154" spans="1:23">
      <c r="A154" s="94" t="str">
        <f t="shared" si="52"/>
        <v>Onion</v>
      </c>
      <c r="B154" s="94"/>
      <c r="C154" s="247"/>
      <c r="D154" s="95">
        <f>(C86*(1-'5.Closing Stock &amp; W Capital'!$D$14))*$C154*D$124</f>
        <v>0</v>
      </c>
      <c r="E154" s="95">
        <f>((D86*(1-'5.Closing Stock &amp; W Capital'!$D$14))+(C86*'5.Closing Stock &amp; W Capital'!$D$14))*$C154*E$124</f>
        <v>0</v>
      </c>
      <c r="F154" s="95">
        <f>((E86*(1-'5.Closing Stock &amp; W Capital'!$D$14))+(D86*'5.Closing Stock &amp; W Capital'!$D$14))*$C$152*F$124</f>
        <v>0</v>
      </c>
      <c r="G154" s="95">
        <f>((F86*(1-'5.Closing Stock &amp; W Capital'!$D$14))+(E86*'5.Closing Stock &amp; W Capital'!$D$14))*$C$152*G$124</f>
        <v>0</v>
      </c>
      <c r="H154" s="95">
        <f>((G86*(1-'5.Closing Stock &amp; W Capital'!$D$14))+(F86*'5.Closing Stock &amp; W Capital'!$D$14))*$C$152*H$124</f>
        <v>0</v>
      </c>
      <c r="I154" s="95">
        <f>((H86*(1-'5.Closing Stock &amp; W Capital'!$D$14))+(G86*'5.Closing Stock &amp; W Capital'!$D$14))*$C$152*I$124</f>
        <v>0</v>
      </c>
      <c r="J154" s="95">
        <f>((I86*(1-'5.Closing Stock &amp; W Capital'!$D$14))+(H86*'5.Closing Stock &amp; W Capital'!$D$14))*$C$152*J$124</f>
        <v>0</v>
      </c>
      <c r="K154" s="93"/>
      <c r="U154" s="93"/>
      <c r="V154" s="93"/>
      <c r="W154" s="93"/>
    </row>
    <row r="155" spans="1:23">
      <c r="A155" s="94" t="str">
        <f t="shared" si="52"/>
        <v>Tomato</v>
      </c>
      <c r="B155" s="94"/>
      <c r="C155" s="247"/>
      <c r="D155" s="95">
        <f>(C87*(1-'5.Closing Stock &amp; W Capital'!$D$14))*$C155*D$124</f>
        <v>0</v>
      </c>
      <c r="E155" s="95">
        <f>((D87*(1-'5.Closing Stock &amp; W Capital'!$D$14))+(C87*'5.Closing Stock &amp; W Capital'!$D$14))*$C155*E$124</f>
        <v>0</v>
      </c>
      <c r="F155" s="95">
        <f>((E87*(1-'5.Closing Stock &amp; W Capital'!$D$14))+(D87*'5.Closing Stock &amp; W Capital'!$D$14))*$C$152*F$124</f>
        <v>0</v>
      </c>
      <c r="G155" s="95">
        <f>((F87*(1-'5.Closing Stock &amp; W Capital'!$D$14))+(E87*'5.Closing Stock &amp; W Capital'!$D$14))*$C$152*G$124</f>
        <v>0</v>
      </c>
      <c r="H155" s="95">
        <f>((G87*(1-'5.Closing Stock &amp; W Capital'!$D$14))+(F87*'5.Closing Stock &amp; W Capital'!$D$14))*$C$152*H$124</f>
        <v>0</v>
      </c>
      <c r="I155" s="95">
        <f>((H87*(1-'5.Closing Stock &amp; W Capital'!$D$14))+(G87*'5.Closing Stock &amp; W Capital'!$D$14))*$C$152*I$124</f>
        <v>0</v>
      </c>
      <c r="J155" s="95">
        <f>((I87*(1-'5.Closing Stock &amp; W Capital'!$D$14))+(H87*'5.Closing Stock &amp; W Capital'!$D$14))*$C$152*J$124</f>
        <v>0</v>
      </c>
      <c r="K155" s="93"/>
      <c r="U155" s="93"/>
      <c r="V155" s="93"/>
      <c r="W155" s="93"/>
    </row>
    <row r="156" spans="1:23">
      <c r="A156" s="94" t="str">
        <f t="shared" si="52"/>
        <v>Okra</v>
      </c>
      <c r="B156" s="94"/>
      <c r="C156" s="247"/>
      <c r="D156" s="95">
        <f>(C88*(1-'5.Closing Stock &amp; W Capital'!$D$14))*$C156*D$124</f>
        <v>0</v>
      </c>
      <c r="E156" s="95">
        <f>((D88*(1-'5.Closing Stock &amp; W Capital'!$D$14))+(C88*'5.Closing Stock &amp; W Capital'!$D$14))*$C156*E$124</f>
        <v>0</v>
      </c>
      <c r="F156" s="95">
        <f>((E88*(1-'5.Closing Stock &amp; W Capital'!$D$14))+(D88*'5.Closing Stock &amp; W Capital'!$D$14))*$C$152*F$124</f>
        <v>0</v>
      </c>
      <c r="G156" s="95">
        <f>((F88*(1-'5.Closing Stock &amp; W Capital'!$D$14))+(E88*'5.Closing Stock &amp; W Capital'!$D$14))*$C$152*G$124</f>
        <v>0</v>
      </c>
      <c r="H156" s="95">
        <f>((G88*(1-'5.Closing Stock &amp; W Capital'!$D$14))+(F88*'5.Closing Stock &amp; W Capital'!$D$14))*$C$152*H$124</f>
        <v>0</v>
      </c>
      <c r="I156" s="95">
        <f>((H88*(1-'5.Closing Stock &amp; W Capital'!$D$14))+(G88*'5.Closing Stock &amp; W Capital'!$D$14))*$C$152*I$124</f>
        <v>0</v>
      </c>
      <c r="J156" s="95">
        <f>((I88*(1-'5.Closing Stock &amp; W Capital'!$D$14))+(H88*'5.Closing Stock &amp; W Capital'!$D$14))*$C$152*J$124</f>
        <v>0</v>
      </c>
      <c r="K156" s="93"/>
      <c r="U156" s="93"/>
      <c r="V156" s="93"/>
      <c r="W156" s="93"/>
    </row>
    <row r="157" spans="1:23">
      <c r="A157" s="94" t="str">
        <f t="shared" si="52"/>
        <v>Chilli</v>
      </c>
      <c r="B157" s="94"/>
      <c r="C157" s="247"/>
      <c r="D157" s="95">
        <f>(C89*(1-'5.Closing Stock &amp; W Capital'!$D$14))*$C157*D$124</f>
        <v>0</v>
      </c>
      <c r="E157" s="95">
        <f>((D89*(1-'5.Closing Stock &amp; W Capital'!$D$14))+(C89*'5.Closing Stock &amp; W Capital'!$D$14))*$C157*E$124</f>
        <v>0</v>
      </c>
      <c r="F157" s="95">
        <f>((E89*(1-'5.Closing Stock &amp; W Capital'!$D$14))+(D89*'5.Closing Stock &amp; W Capital'!$D$14))*$C$152*F$124</f>
        <v>0</v>
      </c>
      <c r="G157" s="95">
        <f>((F89*(1-'5.Closing Stock &amp; W Capital'!$D$14))+(E89*'5.Closing Stock &amp; W Capital'!$D$14))*$C$152*G$124</f>
        <v>0</v>
      </c>
      <c r="H157" s="95">
        <f>((G89*(1-'5.Closing Stock &amp; W Capital'!$D$14))+(F89*'5.Closing Stock &amp; W Capital'!$D$14))*$C$152*H$124</f>
        <v>0</v>
      </c>
      <c r="I157" s="95">
        <f>((H89*(1-'5.Closing Stock &amp; W Capital'!$D$14))+(G89*'5.Closing Stock &amp; W Capital'!$D$14))*$C$152*I$124</f>
        <v>0</v>
      </c>
      <c r="J157" s="95">
        <f>((I89*(1-'5.Closing Stock &amp; W Capital'!$D$14))+(H89*'5.Closing Stock &amp; W Capital'!$D$14))*$C$152*J$124</f>
        <v>0</v>
      </c>
      <c r="K157" s="93"/>
      <c r="U157" s="93"/>
      <c r="V157" s="93"/>
      <c r="W157" s="93"/>
    </row>
    <row r="158" spans="1:23">
      <c r="A158" s="94" t="str">
        <f t="shared" si="52"/>
        <v>Potato</v>
      </c>
      <c r="B158" s="94"/>
      <c r="C158" s="247"/>
      <c r="D158" s="95">
        <f>(C90*(1-'5.Closing Stock &amp; W Capital'!$D$14))*$C158*D$124</f>
        <v>0</v>
      </c>
      <c r="E158" s="95">
        <f>((D90*(1-'5.Closing Stock &amp; W Capital'!$D$14))+(C90*'5.Closing Stock &amp; W Capital'!$D$14))*$C158*E$124</f>
        <v>0</v>
      </c>
      <c r="F158" s="95">
        <f>((E90*(1-'5.Closing Stock &amp; W Capital'!$D$14))+(D90*'5.Closing Stock &amp; W Capital'!$D$14))*$C$152*F$124</f>
        <v>0</v>
      </c>
      <c r="G158" s="95">
        <f>((F90*(1-'5.Closing Stock &amp; W Capital'!$D$14))+(E90*'5.Closing Stock &amp; W Capital'!$D$14))*$C$152*G$124</f>
        <v>0</v>
      </c>
      <c r="H158" s="95">
        <f>((G90*(1-'5.Closing Stock &amp; W Capital'!$D$14))+(F90*'5.Closing Stock &amp; W Capital'!$D$14))*$C$152*H$124</f>
        <v>0</v>
      </c>
      <c r="I158" s="95">
        <f>((H90*(1-'5.Closing Stock &amp; W Capital'!$D$14))+(G90*'5.Closing Stock &amp; W Capital'!$D$14))*$C$152*I$124</f>
        <v>0</v>
      </c>
      <c r="J158" s="95">
        <f>((I90*(1-'5.Closing Stock &amp; W Capital'!$D$14))+(H90*'5.Closing Stock &amp; W Capital'!$D$14))*$C$152*J$124</f>
        <v>0</v>
      </c>
      <c r="K158" s="93"/>
      <c r="U158" s="93"/>
      <c r="V158" s="93"/>
      <c r="W158" s="93"/>
    </row>
    <row r="159" spans="1:23">
      <c r="A159" s="94">
        <f t="shared" si="52"/>
        <v>0</v>
      </c>
      <c r="B159" s="94"/>
      <c r="C159" s="247"/>
      <c r="D159" s="95">
        <f>(C91*(1-'5.Closing Stock &amp; W Capital'!$D$14))*$C159*D$124</f>
        <v>0</v>
      </c>
      <c r="E159" s="95">
        <f>((D91*(1-'5.Closing Stock &amp; W Capital'!$D$14))+(C91*'5.Closing Stock &amp; W Capital'!$D$14))*$C159*E$124</f>
        <v>0</v>
      </c>
      <c r="F159" s="95">
        <f>((E91*(1-'5.Closing Stock &amp; W Capital'!$D$14))+(D91*'5.Closing Stock &amp; W Capital'!$D$14))*$C$152*F$124</f>
        <v>0</v>
      </c>
      <c r="G159" s="95">
        <f>((F91*(1-'5.Closing Stock &amp; W Capital'!$D$14))+(E91*'5.Closing Stock &amp; W Capital'!$D$14))*$C$152*G$124</f>
        <v>0</v>
      </c>
      <c r="H159" s="95">
        <f>((G91*(1-'5.Closing Stock &amp; W Capital'!$D$14))+(F91*'5.Closing Stock &amp; W Capital'!$D$14))*$C$152*H$124</f>
        <v>0</v>
      </c>
      <c r="I159" s="95">
        <f>((H91*(1-'5.Closing Stock &amp; W Capital'!$D$14))+(G91*'5.Closing Stock &amp; W Capital'!$D$14))*$C$152*I$124</f>
        <v>0</v>
      </c>
      <c r="J159" s="95">
        <f>((I91*(1-'5.Closing Stock &amp; W Capital'!$D$14))+(H91*'5.Closing Stock &amp; W Capital'!$D$14))*$C$152*J$124</f>
        <v>0</v>
      </c>
      <c r="K159" s="93"/>
      <c r="U159" s="93"/>
      <c r="V159" s="93"/>
      <c r="W159" s="93"/>
    </row>
    <row r="160" spans="1:23">
      <c r="A160" s="94">
        <f t="shared" si="52"/>
        <v>0</v>
      </c>
      <c r="B160" s="94"/>
      <c r="C160" s="247"/>
      <c r="D160" s="95">
        <f>(C92*(1-'5.Closing Stock &amp; W Capital'!$D$14))*$C160*D$124</f>
        <v>0</v>
      </c>
      <c r="E160" s="95">
        <f>((D92*(1-'5.Closing Stock &amp; W Capital'!$D$14))+(C92*'5.Closing Stock &amp; W Capital'!$D$14))*$C160*E$124</f>
        <v>0</v>
      </c>
      <c r="F160" s="95">
        <f>((E92*(1-'5.Closing Stock &amp; W Capital'!$D$14))+(D92*'5.Closing Stock &amp; W Capital'!$D$14))*$C$152*F$124</f>
        <v>0</v>
      </c>
      <c r="G160" s="95">
        <f>((F92*(1-'5.Closing Stock &amp; W Capital'!$D$14))+(E92*'5.Closing Stock &amp; W Capital'!$D$14))*$C$152*G$124</f>
        <v>0</v>
      </c>
      <c r="H160" s="95">
        <f>((G92*(1-'5.Closing Stock &amp; W Capital'!$D$14))+(F92*'5.Closing Stock &amp; W Capital'!$D$14))*$C$152*H$124</f>
        <v>0</v>
      </c>
      <c r="I160" s="95">
        <f>((H92*(1-'5.Closing Stock &amp; W Capital'!$D$14))+(G92*'5.Closing Stock &amp; W Capital'!$D$14))*$C$152*I$124</f>
        <v>0</v>
      </c>
      <c r="J160" s="95">
        <f>((I92*(1-'5.Closing Stock &amp; W Capital'!$D$14))+(H92*'5.Closing Stock &amp; W Capital'!$D$14))*$C$152*J$124</f>
        <v>0</v>
      </c>
      <c r="K160" s="93"/>
      <c r="U160" s="93"/>
      <c r="V160" s="93"/>
      <c r="W160" s="93"/>
    </row>
    <row r="161" spans="1:23">
      <c r="A161" s="94">
        <f t="shared" ref="A161:A179" si="53">A40</f>
        <v>0</v>
      </c>
      <c r="B161" s="94"/>
      <c r="C161" s="247"/>
      <c r="D161" s="95">
        <f>(C93*(1-'5.Closing Stock &amp; W Capital'!$D$14))*$C161*D$124</f>
        <v>0</v>
      </c>
      <c r="E161" s="95">
        <f>((D93*(1-'5.Closing Stock &amp; W Capital'!$D$14))+(C93*'5.Closing Stock &amp; W Capital'!$D$14))*$C161*E$124</f>
        <v>0</v>
      </c>
      <c r="F161" s="95">
        <f>((E93*(1-'5.Closing Stock &amp; W Capital'!$D$14))+(D93*'5.Closing Stock &amp; W Capital'!$D$14))*$C$152*F$124</f>
        <v>0</v>
      </c>
      <c r="G161" s="95">
        <f>((F93*(1-'5.Closing Stock &amp; W Capital'!$D$14))+(E93*'5.Closing Stock &amp; W Capital'!$D$14))*$C$152*G$124</f>
        <v>0</v>
      </c>
      <c r="H161" s="95">
        <f>((G93*(1-'5.Closing Stock &amp; W Capital'!$D$14))+(F93*'5.Closing Stock &amp; W Capital'!$D$14))*$C$152*H$124</f>
        <v>0</v>
      </c>
      <c r="I161" s="95">
        <f>((H93*(1-'5.Closing Stock &amp; W Capital'!$D$14))+(G93*'5.Closing Stock &amp; W Capital'!$D$14))*$C$152*I$124</f>
        <v>0</v>
      </c>
      <c r="J161" s="95">
        <f>((I93*(1-'5.Closing Stock &amp; W Capital'!$D$14))+(H93*'5.Closing Stock &amp; W Capital'!$D$14))*$C$152*J$124</f>
        <v>0</v>
      </c>
      <c r="K161" s="93"/>
      <c r="U161" s="93"/>
      <c r="V161" s="93"/>
      <c r="W161" s="93"/>
    </row>
    <row r="162" spans="1:23">
      <c r="A162" s="94">
        <f t="shared" si="53"/>
        <v>0</v>
      </c>
      <c r="B162" s="94"/>
      <c r="C162" s="247"/>
      <c r="D162" s="95">
        <f>(C94*(1-'5.Closing Stock &amp; W Capital'!$D$14))*$C162*D$124</f>
        <v>0</v>
      </c>
      <c r="E162" s="95">
        <f>((D94*(1-'5.Closing Stock &amp; W Capital'!$D$14))+(C94*'5.Closing Stock &amp; W Capital'!$D$14))*$C162*E$124</f>
        <v>0</v>
      </c>
      <c r="F162" s="95">
        <f>((E94*(1-'5.Closing Stock &amp; W Capital'!$D$14))+(D94*'5.Closing Stock &amp; W Capital'!$D$14))*$C$152*F$124</f>
        <v>0</v>
      </c>
      <c r="G162" s="95">
        <f>((F94*(1-'5.Closing Stock &amp; W Capital'!$D$14))+(E94*'5.Closing Stock &amp; W Capital'!$D$14))*$C$152*G$124</f>
        <v>0</v>
      </c>
      <c r="H162" s="95">
        <f>((G94*(1-'5.Closing Stock &amp; W Capital'!$D$14))+(F94*'5.Closing Stock &amp; W Capital'!$D$14))*$C$152*H$124</f>
        <v>0</v>
      </c>
      <c r="I162" s="95">
        <f>((H94*(1-'5.Closing Stock &amp; W Capital'!$D$14))+(G94*'5.Closing Stock &amp; W Capital'!$D$14))*$C$152*I$124</f>
        <v>0</v>
      </c>
      <c r="J162" s="95">
        <f>((I94*(1-'5.Closing Stock &amp; W Capital'!$D$14))+(H94*'5.Closing Stock &amp; W Capital'!$D$14))*$C$152*J$124</f>
        <v>0</v>
      </c>
      <c r="K162" s="93"/>
      <c r="U162" s="93"/>
      <c r="V162" s="93"/>
      <c r="W162" s="93"/>
    </row>
    <row r="163" spans="1:23">
      <c r="A163" s="94" t="str">
        <f t="shared" si="53"/>
        <v>Onion</v>
      </c>
      <c r="B163" s="94"/>
      <c r="C163" s="247"/>
      <c r="D163" s="95">
        <f>(C95*(1-'5.Closing Stock &amp; W Capital'!$D$14))*$C163*D$124</f>
        <v>0</v>
      </c>
      <c r="E163" s="95">
        <f>((D95*(1-'5.Closing Stock &amp; W Capital'!$D$14))+(C95*'5.Closing Stock &amp; W Capital'!$D$14))*$C163*E$124</f>
        <v>0</v>
      </c>
      <c r="F163" s="95">
        <f>((E95*(1-'5.Closing Stock &amp; W Capital'!$D$14))+(D95*'5.Closing Stock &amp; W Capital'!$D$14))*$C$152*F$124</f>
        <v>0</v>
      </c>
      <c r="G163" s="95">
        <f>((F95*(1-'5.Closing Stock &amp; W Capital'!$D$14))+(E95*'5.Closing Stock &amp; W Capital'!$D$14))*$C$152*G$124</f>
        <v>0</v>
      </c>
      <c r="H163" s="95">
        <f>((G95*(1-'5.Closing Stock &amp; W Capital'!$D$14))+(F95*'5.Closing Stock &amp; W Capital'!$D$14))*$C$152*H$124</f>
        <v>0</v>
      </c>
      <c r="I163" s="95">
        <f>((H95*(1-'5.Closing Stock &amp; W Capital'!$D$14))+(G95*'5.Closing Stock &amp; W Capital'!$D$14))*$C$152*I$124</f>
        <v>0</v>
      </c>
      <c r="J163" s="95">
        <f>((I95*(1-'5.Closing Stock &amp; W Capital'!$D$14))+(H95*'5.Closing Stock &amp; W Capital'!$D$14))*$C$152*J$124</f>
        <v>0</v>
      </c>
      <c r="K163" s="93"/>
      <c r="U163" s="93"/>
      <c r="V163" s="93"/>
      <c r="W163" s="93"/>
    </row>
    <row r="164" spans="1:23">
      <c r="A164" s="94" t="str">
        <f t="shared" si="53"/>
        <v>Tomato</v>
      </c>
      <c r="B164" s="94"/>
      <c r="C164" s="247"/>
      <c r="D164" s="95">
        <f>(C96*(1-'5.Closing Stock &amp; W Capital'!$D$14))*$C164*D$124</f>
        <v>0</v>
      </c>
      <c r="E164" s="95">
        <f>((D96*(1-'5.Closing Stock &amp; W Capital'!$D$14))+(C96*'5.Closing Stock &amp; W Capital'!$D$14))*$C164*E$124</f>
        <v>0</v>
      </c>
      <c r="F164" s="95">
        <f>((E96*(1-'5.Closing Stock &amp; W Capital'!$D$14))+(D96*'5.Closing Stock &amp; W Capital'!$D$14))*$C$152*F$124</f>
        <v>0</v>
      </c>
      <c r="G164" s="95">
        <f>((F96*(1-'5.Closing Stock &amp; W Capital'!$D$14))+(E96*'5.Closing Stock &amp; W Capital'!$D$14))*$C$152*G$124</f>
        <v>0</v>
      </c>
      <c r="H164" s="95">
        <f>((G96*(1-'5.Closing Stock &amp; W Capital'!$D$14))+(F96*'5.Closing Stock &amp; W Capital'!$D$14))*$C$152*H$124</f>
        <v>0</v>
      </c>
      <c r="I164" s="95">
        <f>((H96*(1-'5.Closing Stock &amp; W Capital'!$D$14))+(G96*'5.Closing Stock &amp; W Capital'!$D$14))*$C$152*I$124</f>
        <v>0</v>
      </c>
      <c r="J164" s="95">
        <f>((I96*(1-'5.Closing Stock &amp; W Capital'!$D$14))+(H96*'5.Closing Stock &amp; W Capital'!$D$14))*$C$152*J$124</f>
        <v>0</v>
      </c>
      <c r="K164" s="93"/>
      <c r="U164" s="93"/>
      <c r="V164" s="93"/>
      <c r="W164" s="93"/>
    </row>
    <row r="165" spans="1:23">
      <c r="A165" s="94" t="str">
        <f t="shared" si="53"/>
        <v>Okra</v>
      </c>
      <c r="B165" s="94"/>
      <c r="C165" s="247"/>
      <c r="D165" s="95">
        <f>(C97*(1-'5.Closing Stock &amp; W Capital'!$D$14))*$C165*D$124</f>
        <v>0</v>
      </c>
      <c r="E165" s="95">
        <f>((D97*(1-'5.Closing Stock &amp; W Capital'!$D$14))+(C97*'5.Closing Stock &amp; W Capital'!$D$14))*$C165*E$124</f>
        <v>0</v>
      </c>
      <c r="F165" s="95">
        <f>((E97*(1-'5.Closing Stock &amp; W Capital'!$D$14))+(D97*'5.Closing Stock &amp; W Capital'!$D$14))*$C$152*F$124</f>
        <v>0</v>
      </c>
      <c r="G165" s="95">
        <f>((F97*(1-'5.Closing Stock &amp; W Capital'!$D$14))+(E97*'5.Closing Stock &amp; W Capital'!$D$14))*$C$152*G$124</f>
        <v>0</v>
      </c>
      <c r="H165" s="95">
        <f>((G97*(1-'5.Closing Stock &amp; W Capital'!$D$14))+(F97*'5.Closing Stock &amp; W Capital'!$D$14))*$C$152*H$124</f>
        <v>0</v>
      </c>
      <c r="I165" s="95">
        <f>((H97*(1-'5.Closing Stock &amp; W Capital'!$D$14))+(G97*'5.Closing Stock &amp; W Capital'!$D$14))*$C$152*I$124</f>
        <v>0</v>
      </c>
      <c r="J165" s="95">
        <f>((I97*(1-'5.Closing Stock &amp; W Capital'!$D$14))+(H97*'5.Closing Stock &amp; W Capital'!$D$14))*$C$152*J$124</f>
        <v>0</v>
      </c>
      <c r="K165" s="93"/>
      <c r="U165" s="93"/>
      <c r="V165" s="93"/>
      <c r="W165" s="93"/>
    </row>
    <row r="166" spans="1:23">
      <c r="A166" s="94" t="str">
        <f t="shared" si="53"/>
        <v>Chilli</v>
      </c>
      <c r="B166" s="94"/>
      <c r="C166" s="247"/>
      <c r="D166" s="95">
        <f>(C98*(1-'5.Closing Stock &amp; W Capital'!$D$14))*$C166*D$124</f>
        <v>0</v>
      </c>
      <c r="E166" s="95">
        <f>((D98*(1-'5.Closing Stock &amp; W Capital'!$D$14))+(C98*'5.Closing Stock &amp; W Capital'!$D$14))*$C166*E$124</f>
        <v>0</v>
      </c>
      <c r="F166" s="95">
        <f>((E98*(1-'5.Closing Stock &amp; W Capital'!$D$14))+(D98*'5.Closing Stock &amp; W Capital'!$D$14))*$C$152*F$124</f>
        <v>0</v>
      </c>
      <c r="G166" s="95">
        <f>((F98*(1-'5.Closing Stock &amp; W Capital'!$D$14))+(E98*'5.Closing Stock &amp; W Capital'!$D$14))*$C$152*G$124</f>
        <v>0</v>
      </c>
      <c r="H166" s="95">
        <f>((G98*(1-'5.Closing Stock &amp; W Capital'!$D$14))+(F98*'5.Closing Stock &amp; W Capital'!$D$14))*$C$152*H$124</f>
        <v>0</v>
      </c>
      <c r="I166" s="95">
        <f>((H98*(1-'5.Closing Stock &amp; W Capital'!$D$14))+(G98*'5.Closing Stock &amp; W Capital'!$D$14))*$C$152*I$124</f>
        <v>0</v>
      </c>
      <c r="J166" s="95">
        <f>((I98*(1-'5.Closing Stock &amp; W Capital'!$D$14))+(H98*'5.Closing Stock &amp; W Capital'!$D$14))*$C$152*J$124</f>
        <v>0</v>
      </c>
      <c r="K166" s="93"/>
      <c r="U166" s="93"/>
      <c r="V166" s="93"/>
      <c r="W166" s="93"/>
    </row>
    <row r="167" spans="1:23">
      <c r="A167" s="94" t="str">
        <f t="shared" si="53"/>
        <v>Brinjal</v>
      </c>
      <c r="B167" s="94"/>
      <c r="C167" s="247"/>
      <c r="D167" s="95">
        <f>(C99*(1-'5.Closing Stock &amp; W Capital'!$D$14))*$C167*D$124</f>
        <v>0</v>
      </c>
      <c r="E167" s="95">
        <f>((D99*(1-'5.Closing Stock &amp; W Capital'!$D$14))+(C99*'5.Closing Stock &amp; W Capital'!$D$14))*$C167*E$124</f>
        <v>0</v>
      </c>
      <c r="F167" s="95">
        <f>((E99*(1-'5.Closing Stock &amp; W Capital'!$D$14))+(D99*'5.Closing Stock &amp; W Capital'!$D$14))*$C$152*F$124</f>
        <v>0</v>
      </c>
      <c r="G167" s="95">
        <f>((F99*(1-'5.Closing Stock &amp; W Capital'!$D$14))+(E99*'5.Closing Stock &amp; W Capital'!$D$14))*$C$152*G$124</f>
        <v>0</v>
      </c>
      <c r="H167" s="95">
        <f>((G99*(1-'5.Closing Stock &amp; W Capital'!$D$14))+(F99*'5.Closing Stock &amp; W Capital'!$D$14))*$C$152*H$124</f>
        <v>0</v>
      </c>
      <c r="I167" s="95">
        <f>((H99*(1-'5.Closing Stock &amp; W Capital'!$D$14))+(G99*'5.Closing Stock &amp; W Capital'!$D$14))*$C$152*I$124</f>
        <v>0</v>
      </c>
      <c r="J167" s="95">
        <f>((I99*(1-'5.Closing Stock &amp; W Capital'!$D$14))+(H99*'5.Closing Stock &amp; W Capital'!$D$14))*$C$152*J$124</f>
        <v>0</v>
      </c>
      <c r="K167" s="93"/>
      <c r="U167" s="93"/>
      <c r="V167" s="93"/>
      <c r="W167" s="93"/>
    </row>
    <row r="168" spans="1:23">
      <c r="A168" s="94">
        <f t="shared" si="53"/>
        <v>0</v>
      </c>
      <c r="B168" s="94"/>
      <c r="C168" s="247"/>
      <c r="D168" s="95">
        <f>(C100*(1-'5.Closing Stock &amp; W Capital'!$D$14))*$C168*D$124</f>
        <v>0</v>
      </c>
      <c r="E168" s="95">
        <f>((D100*(1-'5.Closing Stock &amp; W Capital'!$D$14))+(C100*'5.Closing Stock &amp; W Capital'!$D$14))*$C168*E$124</f>
        <v>0</v>
      </c>
      <c r="F168" s="95">
        <f>((E100*(1-'5.Closing Stock &amp; W Capital'!$D$14))+(D100*'5.Closing Stock &amp; W Capital'!$D$14))*$C$152*F$124</f>
        <v>0</v>
      </c>
      <c r="G168" s="95">
        <f>((F100*(1-'5.Closing Stock &amp; W Capital'!$D$14))+(E100*'5.Closing Stock &amp; W Capital'!$D$14))*$C$152*G$124</f>
        <v>0</v>
      </c>
      <c r="H168" s="95">
        <f>((G100*(1-'5.Closing Stock &amp; W Capital'!$D$14))+(F100*'5.Closing Stock &amp; W Capital'!$D$14))*$C$152*H$124</f>
        <v>0</v>
      </c>
      <c r="I168" s="95">
        <f>((H100*(1-'5.Closing Stock &amp; W Capital'!$D$14))+(G100*'5.Closing Stock &amp; W Capital'!$D$14))*$C$152*I$124</f>
        <v>0</v>
      </c>
      <c r="J168" s="95">
        <f>((I100*(1-'5.Closing Stock &amp; W Capital'!$D$14))+(H100*'5.Closing Stock &amp; W Capital'!$D$14))*$C$152*J$124</f>
        <v>0</v>
      </c>
      <c r="K168" s="93"/>
      <c r="U168" s="93"/>
      <c r="V168" s="93"/>
      <c r="W168" s="93"/>
    </row>
    <row r="169" spans="1:23">
      <c r="A169" s="94">
        <f t="shared" si="53"/>
        <v>0</v>
      </c>
      <c r="B169" s="94"/>
      <c r="C169" s="247"/>
      <c r="D169" s="95">
        <f>(C101*(1-'5.Closing Stock &amp; W Capital'!$D$14))*$C169*D$124</f>
        <v>0</v>
      </c>
      <c r="E169" s="95">
        <f>((D101*(1-'5.Closing Stock &amp; W Capital'!$D$14))+(C101*'5.Closing Stock &amp; W Capital'!$D$14))*$C169*E$124</f>
        <v>0</v>
      </c>
      <c r="F169" s="95">
        <f>((E101*(1-'5.Closing Stock &amp; W Capital'!$D$14))+(D101*'5.Closing Stock &amp; W Capital'!$D$14))*$C$152*F$124</f>
        <v>0</v>
      </c>
      <c r="G169" s="95">
        <f>((F101*(1-'5.Closing Stock &amp; W Capital'!$D$14))+(E101*'5.Closing Stock &amp; W Capital'!$D$14))*$C$152*G$124</f>
        <v>0</v>
      </c>
      <c r="H169" s="95">
        <f>((G101*(1-'5.Closing Stock &amp; W Capital'!$D$14))+(F101*'5.Closing Stock &amp; W Capital'!$D$14))*$C$152*H$124</f>
        <v>0</v>
      </c>
      <c r="I169" s="95">
        <f>((H101*(1-'5.Closing Stock &amp; W Capital'!$D$14))+(G101*'5.Closing Stock &amp; W Capital'!$D$14))*$C$152*I$124</f>
        <v>0</v>
      </c>
      <c r="J169" s="95">
        <f>((I101*(1-'5.Closing Stock &amp; W Capital'!$D$14))+(H101*'5.Closing Stock &amp; W Capital'!$D$14))*$C$152*J$124</f>
        <v>0</v>
      </c>
      <c r="K169" s="93"/>
      <c r="U169" s="93"/>
      <c r="V169" s="93"/>
      <c r="W169" s="93"/>
    </row>
    <row r="170" spans="1:23">
      <c r="A170" s="94">
        <f t="shared" si="53"/>
        <v>0</v>
      </c>
      <c r="B170" s="94"/>
      <c r="C170" s="247"/>
      <c r="D170" s="95">
        <f>(C102*(1-'5.Closing Stock &amp; W Capital'!$D$14))*$C170*D$124</f>
        <v>0</v>
      </c>
      <c r="E170" s="95">
        <f>((D102*(1-'5.Closing Stock &amp; W Capital'!$D$14))+(C102*'5.Closing Stock &amp; W Capital'!$D$14))*$C170*E$124</f>
        <v>0</v>
      </c>
      <c r="F170" s="95">
        <f>((E102*(1-'5.Closing Stock &amp; W Capital'!$D$14))+(D102*'5.Closing Stock &amp; W Capital'!$D$14))*$C$152*F$124</f>
        <v>0</v>
      </c>
      <c r="G170" s="95">
        <f>((F102*(1-'5.Closing Stock &amp; W Capital'!$D$14))+(E102*'5.Closing Stock &amp; W Capital'!$D$14))*$C$152*G$124</f>
        <v>0</v>
      </c>
      <c r="H170" s="95">
        <f>((G102*(1-'5.Closing Stock &amp; W Capital'!$D$14))+(F102*'5.Closing Stock &amp; W Capital'!$D$14))*$C$152*H$124</f>
        <v>0</v>
      </c>
      <c r="I170" s="95">
        <f>((H102*(1-'5.Closing Stock &amp; W Capital'!$D$14))+(G102*'5.Closing Stock &amp; W Capital'!$D$14))*$C$152*I$124</f>
        <v>0</v>
      </c>
      <c r="J170" s="95">
        <f>((I102*(1-'5.Closing Stock &amp; W Capital'!$D$14))+(H102*'5.Closing Stock &amp; W Capital'!$D$14))*$C$152*J$124</f>
        <v>0</v>
      </c>
      <c r="K170" s="93"/>
      <c r="U170" s="93"/>
      <c r="V170" s="93"/>
      <c r="W170" s="93"/>
    </row>
    <row r="171" spans="1:23">
      <c r="A171" s="94">
        <f t="shared" si="53"/>
        <v>0</v>
      </c>
      <c r="B171" s="94"/>
      <c r="C171" s="247"/>
      <c r="D171" s="95">
        <f>(C103*(1-'5.Closing Stock &amp; W Capital'!$D$14))*$C171*D$124</f>
        <v>0</v>
      </c>
      <c r="E171" s="95">
        <f>((D103*(1-'5.Closing Stock &amp; W Capital'!$D$14))+(C103*'5.Closing Stock &amp; W Capital'!$D$14))*$C171*E$124</f>
        <v>0</v>
      </c>
      <c r="F171" s="95">
        <f>((E103*(1-'5.Closing Stock &amp; W Capital'!$D$14))+(D103*'5.Closing Stock &amp; W Capital'!$D$14))*$C$152*F$124</f>
        <v>0</v>
      </c>
      <c r="G171" s="95">
        <f>((F103*(1-'5.Closing Stock &amp; W Capital'!$D$14))+(E103*'5.Closing Stock &amp; W Capital'!$D$14))*$C$152*G$124</f>
        <v>0</v>
      </c>
      <c r="H171" s="95">
        <f>((G103*(1-'5.Closing Stock &amp; W Capital'!$D$14))+(F103*'5.Closing Stock &amp; W Capital'!$D$14))*$C$152*H$124</f>
        <v>0</v>
      </c>
      <c r="I171" s="95">
        <f>((H103*(1-'5.Closing Stock &amp; W Capital'!$D$14))+(G103*'5.Closing Stock &amp; W Capital'!$D$14))*$C$152*I$124</f>
        <v>0</v>
      </c>
      <c r="J171" s="95">
        <f>((I103*(1-'5.Closing Stock &amp; W Capital'!$D$14))+(H103*'5.Closing Stock &amp; W Capital'!$D$14))*$C$152*J$124</f>
        <v>0</v>
      </c>
      <c r="K171" s="93"/>
      <c r="U171" s="93"/>
      <c r="V171" s="93"/>
      <c r="W171" s="93"/>
    </row>
    <row r="172" spans="1:23">
      <c r="A172" s="94">
        <f t="shared" si="53"/>
        <v>0</v>
      </c>
      <c r="B172" s="94"/>
      <c r="C172" s="247"/>
      <c r="D172" s="95">
        <f>(C104*(1-'5.Closing Stock &amp; W Capital'!$D$14))*$C172*D$124</f>
        <v>0</v>
      </c>
      <c r="E172" s="95">
        <f>((D104*(1-'5.Closing Stock &amp; W Capital'!$D$14))+(C104*'5.Closing Stock &amp; W Capital'!$D$14))*$C172*E$124</f>
        <v>0</v>
      </c>
      <c r="F172" s="95">
        <f>((E104*(1-'5.Closing Stock &amp; W Capital'!$D$14))+(D104*'5.Closing Stock &amp; W Capital'!$D$14))*$C$152*F$124</f>
        <v>0</v>
      </c>
      <c r="G172" s="95">
        <f>((F104*(1-'5.Closing Stock &amp; W Capital'!$D$14))+(E104*'5.Closing Stock &amp; W Capital'!$D$14))*$C$152*G$124</f>
        <v>0</v>
      </c>
      <c r="H172" s="95">
        <f>((G104*(1-'5.Closing Stock &amp; W Capital'!$D$14))+(F104*'5.Closing Stock &amp; W Capital'!$D$14))*$C$152*H$124</f>
        <v>0</v>
      </c>
      <c r="I172" s="95">
        <f>((H104*(1-'5.Closing Stock &amp; W Capital'!$D$14))+(G104*'5.Closing Stock &amp; W Capital'!$D$14))*$C$152*I$124</f>
        <v>0</v>
      </c>
      <c r="J172" s="95">
        <f>((I104*(1-'5.Closing Stock &amp; W Capital'!$D$14))+(H104*'5.Closing Stock &amp; W Capital'!$D$14))*$C$152*J$124</f>
        <v>0</v>
      </c>
      <c r="K172" s="93"/>
      <c r="U172" s="93"/>
      <c r="V172" s="93"/>
      <c r="W172" s="93"/>
    </row>
    <row r="173" spans="1:23">
      <c r="A173" s="94">
        <f t="shared" si="53"/>
        <v>0</v>
      </c>
      <c r="B173" s="94"/>
      <c r="C173" s="247"/>
      <c r="D173" s="95">
        <f>(C105*(1-'5.Closing Stock &amp; W Capital'!$D$14))*$C173*D$124</f>
        <v>0</v>
      </c>
      <c r="E173" s="95">
        <f>((D105*(1-'5.Closing Stock &amp; W Capital'!$D$14))+(C105*'5.Closing Stock &amp; W Capital'!$D$14))*$C173*E$124</f>
        <v>0</v>
      </c>
      <c r="F173" s="95">
        <f>((E105*(1-'5.Closing Stock &amp; W Capital'!$D$14))+(D105*'5.Closing Stock &amp; W Capital'!$D$14))*$C$152*F$124</f>
        <v>0</v>
      </c>
      <c r="G173" s="95">
        <f>((F105*(1-'5.Closing Stock &amp; W Capital'!$D$14))+(E105*'5.Closing Stock &amp; W Capital'!$D$14))*$C$152*G$124</f>
        <v>0</v>
      </c>
      <c r="H173" s="95">
        <f>((G105*(1-'5.Closing Stock &amp; W Capital'!$D$14))+(F105*'5.Closing Stock &amp; W Capital'!$D$14))*$C$152*H$124</f>
        <v>0</v>
      </c>
      <c r="I173" s="95">
        <f>((H105*(1-'5.Closing Stock &amp; W Capital'!$D$14))+(G105*'5.Closing Stock &amp; W Capital'!$D$14))*$C$152*I$124</f>
        <v>0</v>
      </c>
      <c r="J173" s="95">
        <f>((I105*(1-'5.Closing Stock &amp; W Capital'!$D$14))+(H105*'5.Closing Stock &amp; W Capital'!$D$14))*$C$152*J$124</f>
        <v>0</v>
      </c>
      <c r="K173" s="93"/>
      <c r="U173" s="93"/>
      <c r="V173" s="93"/>
      <c r="W173" s="93"/>
    </row>
    <row r="174" spans="1:23">
      <c r="A174" s="94">
        <f t="shared" si="53"/>
        <v>0</v>
      </c>
      <c r="B174" s="94"/>
      <c r="C174" s="247"/>
      <c r="D174" s="95">
        <f>(C106*(1-'5.Closing Stock &amp; W Capital'!$D$14))*$C174*D$124</f>
        <v>0</v>
      </c>
      <c r="E174" s="95">
        <f>((D106*(1-'5.Closing Stock &amp; W Capital'!$D$14))+(C106*'5.Closing Stock &amp; W Capital'!$D$14))*$C174*E$124</f>
        <v>0</v>
      </c>
      <c r="F174" s="95">
        <f>((E106*(1-'5.Closing Stock &amp; W Capital'!$D$14))+(D106*'5.Closing Stock &amp; W Capital'!$D$14))*$C$152*F$124</f>
        <v>0</v>
      </c>
      <c r="G174" s="95">
        <f>((F106*(1-'5.Closing Stock &amp; W Capital'!$D$14))+(E106*'5.Closing Stock &amp; W Capital'!$D$14))*$C$152*G$124</f>
        <v>0</v>
      </c>
      <c r="H174" s="95">
        <f>((G106*(1-'5.Closing Stock &amp; W Capital'!$D$14))+(F106*'5.Closing Stock &amp; W Capital'!$D$14))*$C$152*H$124</f>
        <v>0</v>
      </c>
      <c r="I174" s="95">
        <f>((H106*(1-'5.Closing Stock &amp; W Capital'!$D$14))+(G106*'5.Closing Stock &amp; W Capital'!$D$14))*$C$152*I$124</f>
        <v>0</v>
      </c>
      <c r="J174" s="95">
        <f>((I106*(1-'5.Closing Stock &amp; W Capital'!$D$14))+(H106*'5.Closing Stock &amp; W Capital'!$D$14))*$C$152*J$124</f>
        <v>0</v>
      </c>
      <c r="K174" s="93"/>
      <c r="U174" s="93"/>
      <c r="V174" s="93"/>
      <c r="W174" s="93"/>
    </row>
    <row r="175" spans="1:23">
      <c r="A175" s="94" t="str">
        <f t="shared" si="53"/>
        <v>Pomegranate</v>
      </c>
      <c r="B175" s="94"/>
      <c r="C175" s="247"/>
      <c r="D175" s="95">
        <f>(C107*(1-'5.Closing Stock &amp; W Capital'!$D$14))*$C175*D$124</f>
        <v>0</v>
      </c>
      <c r="E175" s="95">
        <f>((D107*(1-'5.Closing Stock &amp; W Capital'!$D$14))+(C107*'5.Closing Stock &amp; W Capital'!$D$14))*$C175*E$124</f>
        <v>0</v>
      </c>
      <c r="F175" s="95">
        <f>((E107*(1-'5.Closing Stock &amp; W Capital'!$D$14))+(D107*'5.Closing Stock &amp; W Capital'!$D$14))*$C$152*F$124</f>
        <v>0</v>
      </c>
      <c r="G175" s="95">
        <f>((F107*(1-'5.Closing Stock &amp; W Capital'!$D$14))+(E107*'5.Closing Stock &amp; W Capital'!$D$14))*$C$152*G$124</f>
        <v>0</v>
      </c>
      <c r="H175" s="95">
        <f>((G107*(1-'5.Closing Stock &amp; W Capital'!$D$14))+(F107*'5.Closing Stock &amp; W Capital'!$D$14))*$C$152*H$124</f>
        <v>0</v>
      </c>
      <c r="I175" s="95">
        <f>((H107*(1-'5.Closing Stock &amp; W Capital'!$D$14))+(G107*'5.Closing Stock &amp; W Capital'!$D$14))*$C$152*I$124</f>
        <v>0</v>
      </c>
      <c r="J175" s="95">
        <f>((I107*(1-'5.Closing Stock &amp; W Capital'!$D$14))+(H107*'5.Closing Stock &amp; W Capital'!$D$14))*$C$152*J$124</f>
        <v>0</v>
      </c>
      <c r="K175" s="93"/>
      <c r="U175" s="93"/>
      <c r="V175" s="93"/>
      <c r="W175" s="93"/>
    </row>
    <row r="176" spans="1:23">
      <c r="A176" s="94" t="str">
        <f t="shared" si="53"/>
        <v>Custard Apple</v>
      </c>
      <c r="B176" s="94"/>
      <c r="C176" s="247"/>
      <c r="D176" s="95">
        <f>(C108*(1-'5.Closing Stock &amp; W Capital'!$D$14))*$C176*D$124</f>
        <v>0</v>
      </c>
      <c r="E176" s="95">
        <f>((D108*(1-'5.Closing Stock &amp; W Capital'!$D$14))+(C108*'5.Closing Stock &amp; W Capital'!$D$14))*$C176*E$124</f>
        <v>0</v>
      </c>
      <c r="F176" s="95">
        <f>((E108*(1-'5.Closing Stock &amp; W Capital'!$D$14))+(D108*'5.Closing Stock &amp; W Capital'!$D$14))*$C$152*F$124</f>
        <v>0</v>
      </c>
      <c r="G176" s="95">
        <f>((F108*(1-'5.Closing Stock &amp; W Capital'!$D$14))+(E108*'5.Closing Stock &amp; W Capital'!$D$14))*$C$152*G$124</f>
        <v>0</v>
      </c>
      <c r="H176" s="95">
        <f>((G108*(1-'5.Closing Stock &amp; W Capital'!$D$14))+(F108*'5.Closing Stock &amp; W Capital'!$D$14))*$C$152*H$124</f>
        <v>0</v>
      </c>
      <c r="I176" s="95">
        <f>((H108*(1-'5.Closing Stock &amp; W Capital'!$D$14))+(G108*'5.Closing Stock &amp; W Capital'!$D$14))*$C$152*I$124</f>
        <v>0</v>
      </c>
      <c r="J176" s="95">
        <f>((I108*(1-'5.Closing Stock &amp; W Capital'!$D$14))+(H108*'5.Closing Stock &amp; W Capital'!$D$14))*$C$152*J$124</f>
        <v>0</v>
      </c>
      <c r="K176" s="93"/>
      <c r="U176" s="93"/>
      <c r="V176" s="93"/>
      <c r="W176" s="93"/>
    </row>
    <row r="177" spans="1:23">
      <c r="A177" s="94" t="str">
        <f t="shared" si="53"/>
        <v>Guava</v>
      </c>
      <c r="B177" s="94"/>
      <c r="C177" s="247"/>
      <c r="D177" s="95">
        <f>(C109*(1-'5.Closing Stock &amp; W Capital'!$D$14))*$C177*D$124</f>
        <v>0</v>
      </c>
      <c r="E177" s="95">
        <f>((D109*(1-'5.Closing Stock &amp; W Capital'!$D$14))+(C109*'5.Closing Stock &amp; W Capital'!$D$14))*$C177*E$124</f>
        <v>0</v>
      </c>
      <c r="F177" s="95">
        <f>((E109*(1-'5.Closing Stock &amp; W Capital'!$D$14))+(D109*'5.Closing Stock &amp; W Capital'!$D$14))*$C$152*F$124</f>
        <v>0</v>
      </c>
      <c r="G177" s="95">
        <f>((F109*(1-'5.Closing Stock &amp; W Capital'!$D$14))+(E109*'5.Closing Stock &amp; W Capital'!$D$14))*$C$152*G$124</f>
        <v>0</v>
      </c>
      <c r="H177" s="95">
        <f>((G109*(1-'5.Closing Stock &amp; W Capital'!$D$14))+(F109*'5.Closing Stock &amp; W Capital'!$D$14))*$C$152*H$124</f>
        <v>0</v>
      </c>
      <c r="I177" s="95">
        <f>((H109*(1-'5.Closing Stock &amp; W Capital'!$D$14))+(G109*'5.Closing Stock &amp; W Capital'!$D$14))*$C$152*I$124</f>
        <v>0</v>
      </c>
      <c r="J177" s="95">
        <f>((I109*(1-'5.Closing Stock &amp; W Capital'!$D$14))+(H109*'5.Closing Stock &amp; W Capital'!$D$14))*$C$152*J$124</f>
        <v>0</v>
      </c>
      <c r="K177" s="93"/>
      <c r="U177" s="93"/>
      <c r="V177" s="93"/>
      <c r="W177" s="93"/>
    </row>
    <row r="178" spans="1:23">
      <c r="A178" s="94" t="str">
        <f t="shared" si="53"/>
        <v>Citrus</v>
      </c>
      <c r="B178" s="94"/>
      <c r="C178" s="247"/>
      <c r="D178" s="95">
        <f>(C110*(1-'5.Closing Stock &amp; W Capital'!$D$14))*$C178*D$124</f>
        <v>0</v>
      </c>
      <c r="E178" s="95">
        <f>((D110*(1-'5.Closing Stock &amp; W Capital'!$D$14))+(C110*'5.Closing Stock &amp; W Capital'!$D$14))*$C178*E$124</f>
        <v>0</v>
      </c>
      <c r="F178" s="95">
        <f>((E110*(1-'5.Closing Stock &amp; W Capital'!$D$14))+(D110*'5.Closing Stock &amp; W Capital'!$D$14))*$C$152*F$124</f>
        <v>0</v>
      </c>
      <c r="G178" s="95">
        <f>((F110*(1-'5.Closing Stock &amp; W Capital'!$D$14))+(E110*'5.Closing Stock &amp; W Capital'!$D$14))*$C$152*G$124</f>
        <v>0</v>
      </c>
      <c r="H178" s="95">
        <f>((G110*(1-'5.Closing Stock &amp; W Capital'!$D$14))+(F110*'5.Closing Stock &amp; W Capital'!$D$14))*$C$152*H$124</f>
        <v>0</v>
      </c>
      <c r="I178" s="95">
        <f>((H110*(1-'5.Closing Stock &amp; W Capital'!$D$14))+(G110*'5.Closing Stock &amp; W Capital'!$D$14))*$C$152*I$124</f>
        <v>0</v>
      </c>
      <c r="J178" s="95">
        <f>((I110*(1-'5.Closing Stock &amp; W Capital'!$D$14))+(H110*'5.Closing Stock &amp; W Capital'!$D$14))*$C$152*J$124</f>
        <v>0</v>
      </c>
      <c r="K178" s="93"/>
      <c r="U178" s="93"/>
      <c r="V178" s="93"/>
      <c r="W178" s="93"/>
    </row>
    <row r="179" spans="1:23">
      <c r="A179" s="94">
        <f t="shared" si="53"/>
        <v>0</v>
      </c>
      <c r="B179" s="94"/>
      <c r="C179" s="247"/>
      <c r="D179" s="95"/>
      <c r="E179" s="95"/>
      <c r="F179" s="95"/>
      <c r="G179" s="95"/>
      <c r="H179" s="95"/>
      <c r="I179" s="95"/>
      <c r="J179" s="95"/>
      <c r="K179" s="93"/>
      <c r="U179" s="93"/>
      <c r="V179" s="93"/>
      <c r="W179" s="93"/>
    </row>
    <row r="180" spans="1:23">
      <c r="A180" s="94"/>
      <c r="B180" s="94"/>
      <c r="C180" s="95"/>
      <c r="D180" s="95"/>
      <c r="E180" s="95"/>
      <c r="F180" s="95"/>
      <c r="G180" s="95"/>
      <c r="H180" s="95"/>
      <c r="I180" s="95"/>
      <c r="J180" s="95"/>
      <c r="K180" s="93"/>
      <c r="U180" s="93"/>
      <c r="V180" s="93"/>
      <c r="W180" s="93"/>
    </row>
    <row r="181" spans="1:23">
      <c r="A181" s="94" t="s">
        <v>287</v>
      </c>
      <c r="B181" s="94"/>
      <c r="C181" s="95"/>
      <c r="D181" s="95"/>
      <c r="E181" s="95"/>
      <c r="F181" s="95"/>
      <c r="G181" s="95"/>
      <c r="H181" s="95"/>
      <c r="I181" s="95"/>
      <c r="J181" s="95"/>
      <c r="K181" s="93"/>
      <c r="U181" s="93"/>
      <c r="V181" s="93"/>
      <c r="W181" s="93"/>
    </row>
    <row r="182" spans="1:23">
      <c r="A182" s="94" t="s">
        <v>406</v>
      </c>
      <c r="B182" s="94"/>
      <c r="C182" s="247">
        <v>0</v>
      </c>
      <c r="D182" s="95">
        <f>(C114*(1-'5.Closing Stock &amp; W Capital'!$D$14))*$C$182*D124</f>
        <v>0</v>
      </c>
      <c r="E182" s="95">
        <f>((D114*(1-'5.Closing Stock &amp; W Capital'!$D$14))+(C114*'5.Closing Stock &amp; W Capital'!$D$14))*$C$182*E124</f>
        <v>0</v>
      </c>
      <c r="F182" s="95">
        <f>((E114*(1-'5.Closing Stock &amp; W Capital'!$D$14))+(D114*'5.Closing Stock &amp; W Capital'!$D$14))*$C$182*F124</f>
        <v>0</v>
      </c>
      <c r="G182" s="95">
        <f>((F114*(1-'5.Closing Stock &amp; W Capital'!$D$14))+(E114*'5.Closing Stock &amp; W Capital'!$D$14))*$C$182*G124</f>
        <v>0</v>
      </c>
      <c r="H182" s="95">
        <f>((G114*(1-'5.Closing Stock &amp; W Capital'!$D$14))+(F114*'5.Closing Stock &amp; W Capital'!$D$14))*$C$182*H124</f>
        <v>0</v>
      </c>
      <c r="I182" s="95">
        <f>((H114*(1-'5.Closing Stock &amp; W Capital'!$D$14))+(G114*'5.Closing Stock &amp; W Capital'!$D$14))*$C$182*I124</f>
        <v>0</v>
      </c>
      <c r="J182" s="95">
        <f>((I114*(1-'5.Closing Stock &amp; W Capital'!$D$14))+(H114*'5.Closing Stock &amp; W Capital'!$D$14))*$C$182*J124</f>
        <v>0</v>
      </c>
      <c r="K182" s="93"/>
      <c r="U182" s="93"/>
      <c r="V182" s="93"/>
      <c r="W182" s="93"/>
    </row>
    <row r="183" spans="1:23">
      <c r="A183" s="94" t="s">
        <v>177</v>
      </c>
      <c r="B183" s="94"/>
      <c r="C183" s="247">
        <v>0</v>
      </c>
      <c r="D183" s="95">
        <f>(C115*(1-'5.Closing Stock &amp; W Capital'!$D$14))*$C$183*D124</f>
        <v>0</v>
      </c>
      <c r="E183" s="95">
        <f>((D115*(1-'5.Closing Stock &amp; W Capital'!$D$14))+(C115*'5.Closing Stock &amp; W Capital'!$D$14))*$C$183*E124</f>
        <v>0</v>
      </c>
      <c r="F183" s="95">
        <f>((E115*(1-'5.Closing Stock &amp; W Capital'!$D$14))+(D115*'5.Closing Stock &amp; W Capital'!$D$14))*$C$183*F124</f>
        <v>0</v>
      </c>
      <c r="G183" s="95">
        <f>((F115*(1-'5.Closing Stock &amp; W Capital'!$D$14))+(E115*'5.Closing Stock &amp; W Capital'!$D$14))*$C$183*G124</f>
        <v>0</v>
      </c>
      <c r="H183" s="95">
        <f>((G115*(1-'5.Closing Stock &amp; W Capital'!$D$14))+(F115*'5.Closing Stock &amp; W Capital'!$D$14))*$C$183*H124</f>
        <v>0</v>
      </c>
      <c r="I183" s="95">
        <f>((H115*(1-'5.Closing Stock &amp; W Capital'!$D$14))+(G115*'5.Closing Stock &amp; W Capital'!$D$14))*$C$183*I124</f>
        <v>0</v>
      </c>
      <c r="J183" s="95">
        <f>((I115*(1-'5.Closing Stock &amp; W Capital'!$D$14))+(H115*'5.Closing Stock &amp; W Capital'!$D$14))*$C$183*J124</f>
        <v>0</v>
      </c>
      <c r="K183" s="93"/>
      <c r="U183" s="93"/>
      <c r="V183" s="93"/>
      <c r="W183" s="93"/>
    </row>
    <row r="184" spans="1:23">
      <c r="A184" s="94" t="s">
        <v>179</v>
      </c>
      <c r="B184" s="94"/>
      <c r="C184" s="247">
        <v>0</v>
      </c>
      <c r="D184" s="95">
        <f>(C116*(1-'5.Closing Stock &amp; W Capital'!$D$14))*$C$184*D124</f>
        <v>0</v>
      </c>
      <c r="E184" s="95">
        <f>((D116*(1-'5.Closing Stock &amp; W Capital'!$D$14))+(C116*'5.Closing Stock &amp; W Capital'!$D$14))*$C$184*E124</f>
        <v>0</v>
      </c>
      <c r="F184" s="95">
        <f>((E116*(1-'5.Closing Stock &amp; W Capital'!$D$14))+(D116*'5.Closing Stock &amp; W Capital'!$D$14))*$C$184*F124</f>
        <v>0</v>
      </c>
      <c r="G184" s="95">
        <f>((F116*(1-'5.Closing Stock &amp; W Capital'!$D$14))+(E116*'5.Closing Stock &amp; W Capital'!$D$14))*$C$184*G124</f>
        <v>0</v>
      </c>
      <c r="H184" s="95">
        <f>((G116*(1-'5.Closing Stock &amp; W Capital'!$D$14))+(F116*'5.Closing Stock &amp; W Capital'!$D$14))*$C$184*H124</f>
        <v>0</v>
      </c>
      <c r="I184" s="95">
        <f>((H116*(1-'5.Closing Stock &amp; W Capital'!$D$14))+(G116*'5.Closing Stock &amp; W Capital'!$D$14))*$C$184*I124</f>
        <v>0</v>
      </c>
      <c r="J184" s="95">
        <f>((I116*(1-'5.Closing Stock &amp; W Capital'!$D$14))+(H116*'5.Closing Stock &amp; W Capital'!$D$14))*$C$184*J124</f>
        <v>0</v>
      </c>
      <c r="K184" s="93"/>
      <c r="U184" s="93"/>
      <c r="V184" s="93"/>
      <c r="W184" s="93"/>
    </row>
    <row r="185" spans="1:23">
      <c r="A185" s="94"/>
      <c r="B185" s="94"/>
      <c r="C185" s="95"/>
      <c r="D185" s="95"/>
      <c r="E185" s="95"/>
      <c r="F185" s="95"/>
      <c r="G185" s="95"/>
      <c r="H185" s="95"/>
      <c r="I185" s="95"/>
      <c r="J185" s="95"/>
      <c r="K185" s="93"/>
      <c r="U185" s="93"/>
      <c r="V185" s="93"/>
      <c r="W185" s="93"/>
    </row>
    <row r="186" spans="1:23">
      <c r="A186" s="94" t="s">
        <v>178</v>
      </c>
      <c r="B186" s="94"/>
      <c r="C186" s="95"/>
      <c r="D186" s="95"/>
      <c r="E186" s="95"/>
      <c r="F186" s="95"/>
      <c r="G186" s="95"/>
      <c r="H186" s="95"/>
      <c r="I186" s="95"/>
      <c r="J186" s="95"/>
      <c r="K186" s="93"/>
      <c r="U186" s="93"/>
      <c r="V186" s="93"/>
      <c r="W186" s="93"/>
    </row>
    <row r="187" spans="1:23">
      <c r="A187" s="94" t="s">
        <v>184</v>
      </c>
      <c r="B187" s="94"/>
      <c r="C187" s="247">
        <v>0</v>
      </c>
      <c r="D187" s="95">
        <f>(C118*(1-'5.Closing Stock &amp; W Capital'!$D$14))*$C$187*D124</f>
        <v>0</v>
      </c>
      <c r="E187" s="95">
        <f>((D118*(1-'5.Closing Stock &amp; W Capital'!$D$14))+(C118*'5.Closing Stock &amp; W Capital'!$D$14))*$C$187*E124</f>
        <v>0</v>
      </c>
      <c r="F187" s="95">
        <f>((E118*(1-'5.Closing Stock &amp; W Capital'!$D$14))+(D118*'5.Closing Stock &amp; W Capital'!$D$14))*$C$187*F124</f>
        <v>0</v>
      </c>
      <c r="G187" s="95">
        <f>((F118*(1-'5.Closing Stock &amp; W Capital'!$D$14))+(E118*'5.Closing Stock &amp; W Capital'!$D$14))*$C$187*G124</f>
        <v>0</v>
      </c>
      <c r="H187" s="95">
        <f>((G118*(1-'5.Closing Stock &amp; W Capital'!$D$14))+(F118*'5.Closing Stock &amp; W Capital'!$D$14))*$C$187*H124</f>
        <v>0</v>
      </c>
      <c r="I187" s="95">
        <f>((H118*(1-'5.Closing Stock &amp; W Capital'!$D$14))+(G118*'5.Closing Stock &amp; W Capital'!$D$14))*$C$187*I124</f>
        <v>0</v>
      </c>
      <c r="J187" s="95">
        <f>((I118*(1-'5.Closing Stock &amp; W Capital'!$D$14))+(H118*'5.Closing Stock &amp; W Capital'!$D$14))*$C$187*J124</f>
        <v>0</v>
      </c>
      <c r="K187" s="93"/>
      <c r="U187" s="206"/>
      <c r="V187" s="206"/>
      <c r="W187" s="206"/>
    </row>
    <row r="188" spans="1:23">
      <c r="A188" s="94" t="s">
        <v>185</v>
      </c>
      <c r="B188" s="94"/>
      <c r="C188" s="247">
        <v>0</v>
      </c>
      <c r="D188" s="95">
        <f>(C119*(1-'5.Closing Stock &amp; W Capital'!$D$14))*$C$188*D124</f>
        <v>0</v>
      </c>
      <c r="E188" s="95">
        <f>((D119*(1-'5.Closing Stock &amp; W Capital'!$D$14))+(C119*'5.Closing Stock &amp; W Capital'!$D$14))*$C$188*E124</f>
        <v>0</v>
      </c>
      <c r="F188" s="95">
        <f>((E119*(1-'5.Closing Stock &amp; W Capital'!$D$14))+(D119*'5.Closing Stock &amp; W Capital'!$D$14))*$C$188*F124</f>
        <v>0</v>
      </c>
      <c r="G188" s="95">
        <f>((F119*(1-'5.Closing Stock &amp; W Capital'!$D$14))+(E119*'5.Closing Stock &amp; W Capital'!$D$14))*$C$188*G124</f>
        <v>0</v>
      </c>
      <c r="H188" s="95">
        <f>((G119*(1-'5.Closing Stock &amp; W Capital'!$D$14))+(F119*'5.Closing Stock &amp; W Capital'!$D$14))*$C$188*H124</f>
        <v>0</v>
      </c>
      <c r="I188" s="95">
        <f>((H119*(1-'5.Closing Stock &amp; W Capital'!$D$14))+(G119*'5.Closing Stock &amp; W Capital'!$D$14))*$C$188*I124</f>
        <v>0</v>
      </c>
      <c r="J188" s="95">
        <f>((I119*(1-'5.Closing Stock &amp; W Capital'!$D$14))+(H119*'5.Closing Stock &amp; W Capital'!$D$14))*$C$188*J124</f>
        <v>0</v>
      </c>
      <c r="K188" s="93"/>
      <c r="U188" s="93"/>
      <c r="V188" s="93"/>
      <c r="W188" s="93"/>
    </row>
    <row r="189" spans="1:23">
      <c r="A189" s="94"/>
      <c r="B189" s="94"/>
      <c r="C189" s="95"/>
      <c r="D189" s="95"/>
      <c r="E189" s="95"/>
      <c r="F189" s="95"/>
      <c r="G189" s="95"/>
      <c r="H189" s="95"/>
      <c r="I189" s="95"/>
      <c r="J189" s="95"/>
      <c r="K189" s="93"/>
      <c r="U189" s="93"/>
      <c r="V189" s="93"/>
      <c r="W189" s="93"/>
    </row>
    <row r="190" spans="1:23">
      <c r="A190" s="94"/>
      <c r="B190" s="94"/>
      <c r="C190" s="95"/>
      <c r="D190" s="95"/>
      <c r="E190" s="95"/>
      <c r="F190" s="95"/>
      <c r="G190" s="95"/>
      <c r="H190" s="95"/>
      <c r="I190" s="95"/>
      <c r="J190" s="95"/>
      <c r="K190" s="93"/>
      <c r="U190" s="93"/>
      <c r="V190" s="93"/>
      <c r="W190" s="93"/>
    </row>
    <row r="191" spans="1:23">
      <c r="A191" s="96" t="s">
        <v>142</v>
      </c>
      <c r="B191" s="96"/>
      <c r="C191" s="114"/>
      <c r="D191" s="114">
        <f t="shared" ref="D191:J191" si="54">SUM(D130:D188)</f>
        <v>0</v>
      </c>
      <c r="E191" s="114">
        <f t="shared" si="54"/>
        <v>0</v>
      </c>
      <c r="F191" s="114">
        <f t="shared" si="54"/>
        <v>0</v>
      </c>
      <c r="G191" s="114">
        <f t="shared" si="54"/>
        <v>0</v>
      </c>
      <c r="H191" s="114">
        <f t="shared" si="54"/>
        <v>0</v>
      </c>
      <c r="I191" s="114">
        <f t="shared" si="54"/>
        <v>0</v>
      </c>
      <c r="J191" s="114">
        <f t="shared" si="54"/>
        <v>0</v>
      </c>
      <c r="K191" s="93"/>
      <c r="U191" s="93"/>
      <c r="V191" s="93"/>
      <c r="W191" s="93"/>
    </row>
    <row r="192" spans="1:23">
      <c r="A192" s="94"/>
      <c r="B192" s="94"/>
      <c r="C192" s="95"/>
      <c r="D192" s="95"/>
      <c r="E192" s="95"/>
      <c r="F192" s="95"/>
      <c r="G192" s="95"/>
      <c r="H192" s="95"/>
      <c r="I192" s="95"/>
      <c r="J192" s="95"/>
      <c r="K192" s="93"/>
      <c r="U192" s="93"/>
      <c r="V192" s="93"/>
      <c r="W192" s="93"/>
    </row>
    <row r="193" spans="1:23">
      <c r="A193" s="94"/>
      <c r="B193" s="94"/>
      <c r="C193" s="95"/>
      <c r="D193" s="95"/>
      <c r="E193" s="95"/>
      <c r="F193" s="95"/>
      <c r="G193" s="95"/>
      <c r="H193" s="95"/>
      <c r="I193" s="95"/>
      <c r="J193" s="95"/>
      <c r="K193" s="93"/>
      <c r="U193" s="93"/>
      <c r="V193" s="93"/>
      <c r="W193" s="93"/>
    </row>
    <row r="194" spans="1:23">
      <c r="A194" s="96" t="s">
        <v>141</v>
      </c>
      <c r="B194" s="96"/>
      <c r="C194" s="95"/>
      <c r="D194" s="95"/>
      <c r="E194" s="95"/>
      <c r="F194" s="95"/>
      <c r="G194" s="95"/>
      <c r="H194" s="95"/>
      <c r="I194" s="95"/>
      <c r="J194" s="95"/>
      <c r="K194" s="93"/>
      <c r="U194" s="93"/>
      <c r="V194" s="93"/>
      <c r="W194" s="93"/>
    </row>
    <row r="195" spans="1:23">
      <c r="A195" s="96" t="str">
        <f>A128</f>
        <v>Seeds (Rate/KG)</v>
      </c>
      <c r="B195" s="96"/>
      <c r="C195" s="95"/>
      <c r="D195" s="95"/>
      <c r="E195" s="95"/>
      <c r="F195" s="95"/>
      <c r="G195" s="95"/>
      <c r="H195" s="95"/>
      <c r="I195" s="95"/>
      <c r="J195" s="95"/>
      <c r="K195" s="93"/>
      <c r="U195" s="93"/>
      <c r="V195" s="93"/>
      <c r="W195" s="93"/>
    </row>
    <row r="196" spans="1:23">
      <c r="A196" s="93" t="s">
        <v>312</v>
      </c>
      <c r="B196" s="93"/>
      <c r="C196" s="93"/>
      <c r="D196" s="93"/>
      <c r="E196" s="93"/>
      <c r="F196" s="93"/>
      <c r="G196" s="93"/>
      <c r="H196" s="93"/>
      <c r="I196" s="93"/>
      <c r="J196" s="93"/>
      <c r="K196" s="93"/>
      <c r="U196" s="93"/>
      <c r="V196" s="93"/>
      <c r="W196" s="93"/>
    </row>
    <row r="197" spans="1:23">
      <c r="A197" s="94" t="str">
        <f t="shared" ref="A197:A238" si="55">A130</f>
        <v>Soybean</v>
      </c>
      <c r="B197" s="93"/>
      <c r="C197" s="247">
        <v>85</v>
      </c>
      <c r="D197" s="95">
        <f t="shared" ref="D197:J206" si="56">C62*$C197*D$124</f>
        <v>0</v>
      </c>
      <c r="E197" s="95">
        <f t="shared" si="56"/>
        <v>0</v>
      </c>
      <c r="F197" s="95">
        <f t="shared" si="56"/>
        <v>0</v>
      </c>
      <c r="G197" s="95">
        <f t="shared" si="56"/>
        <v>0</v>
      </c>
      <c r="H197" s="95">
        <f t="shared" si="56"/>
        <v>0</v>
      </c>
      <c r="I197" s="95">
        <f t="shared" si="56"/>
        <v>0</v>
      </c>
      <c r="J197" s="95">
        <f t="shared" si="56"/>
        <v>0</v>
      </c>
      <c r="K197" s="93"/>
      <c r="U197" s="93"/>
      <c r="V197" s="93"/>
      <c r="W197" s="93"/>
    </row>
    <row r="198" spans="1:23">
      <c r="A198" s="94" t="str">
        <f t="shared" si="55"/>
        <v>Tur</v>
      </c>
      <c r="B198" s="94"/>
      <c r="C198" s="247">
        <v>75</v>
      </c>
      <c r="D198" s="95">
        <f t="shared" si="56"/>
        <v>0</v>
      </c>
      <c r="E198" s="95">
        <f t="shared" si="56"/>
        <v>0</v>
      </c>
      <c r="F198" s="95">
        <f t="shared" si="56"/>
        <v>0</v>
      </c>
      <c r="G198" s="95">
        <f t="shared" si="56"/>
        <v>0</v>
      </c>
      <c r="H198" s="95">
        <f t="shared" si="56"/>
        <v>0</v>
      </c>
      <c r="I198" s="95">
        <f t="shared" si="56"/>
        <v>0</v>
      </c>
      <c r="J198" s="95">
        <f t="shared" si="56"/>
        <v>0</v>
      </c>
      <c r="K198" s="93"/>
      <c r="U198" s="93"/>
      <c r="V198" s="93"/>
      <c r="W198" s="93"/>
    </row>
    <row r="199" spans="1:23">
      <c r="A199" s="94" t="str">
        <f t="shared" si="55"/>
        <v>Turmeric</v>
      </c>
      <c r="B199" s="94"/>
      <c r="C199" s="247">
        <v>57</v>
      </c>
      <c r="D199" s="95">
        <f t="shared" si="56"/>
        <v>0</v>
      </c>
      <c r="E199" s="95">
        <f t="shared" si="56"/>
        <v>0</v>
      </c>
      <c r="F199" s="95">
        <f t="shared" si="56"/>
        <v>0</v>
      </c>
      <c r="G199" s="95">
        <f t="shared" si="56"/>
        <v>0</v>
      </c>
      <c r="H199" s="95">
        <f t="shared" si="56"/>
        <v>0</v>
      </c>
      <c r="I199" s="95">
        <f t="shared" si="56"/>
        <v>0</v>
      </c>
      <c r="J199" s="95">
        <f t="shared" si="56"/>
        <v>0</v>
      </c>
      <c r="K199" s="93"/>
      <c r="U199" s="93"/>
      <c r="V199" s="93"/>
      <c r="W199" s="93"/>
    </row>
    <row r="200" spans="1:23">
      <c r="A200" s="94" t="str">
        <f t="shared" si="55"/>
        <v>Moong</v>
      </c>
      <c r="B200" s="94"/>
      <c r="C200" s="247">
        <v>80</v>
      </c>
      <c r="D200" s="95">
        <f t="shared" si="56"/>
        <v>0</v>
      </c>
      <c r="E200" s="95">
        <f t="shared" si="56"/>
        <v>0</v>
      </c>
      <c r="F200" s="95">
        <f t="shared" si="56"/>
        <v>0</v>
      </c>
      <c r="G200" s="95">
        <f t="shared" si="56"/>
        <v>0</v>
      </c>
      <c r="H200" s="95">
        <f t="shared" si="56"/>
        <v>0</v>
      </c>
      <c r="I200" s="95">
        <f t="shared" si="56"/>
        <v>0</v>
      </c>
      <c r="J200" s="95">
        <f t="shared" si="56"/>
        <v>0</v>
      </c>
      <c r="K200" s="93"/>
      <c r="L200" s="93"/>
      <c r="M200" s="93"/>
      <c r="N200" s="93"/>
      <c r="O200" s="93"/>
      <c r="P200" s="93"/>
      <c r="Q200" s="93"/>
      <c r="R200" s="93"/>
      <c r="S200" s="93"/>
      <c r="T200" s="93"/>
      <c r="U200" s="93"/>
      <c r="V200" s="93"/>
      <c r="W200" s="93"/>
    </row>
    <row r="201" spans="1:23">
      <c r="A201" s="94" t="str">
        <f t="shared" si="55"/>
        <v>Maize</v>
      </c>
      <c r="B201" s="94"/>
      <c r="C201" s="247">
        <v>25</v>
      </c>
      <c r="D201" s="95">
        <f t="shared" si="56"/>
        <v>0</v>
      </c>
      <c r="E201" s="95">
        <f t="shared" si="56"/>
        <v>0</v>
      </c>
      <c r="F201" s="95">
        <f t="shared" si="56"/>
        <v>0</v>
      </c>
      <c r="G201" s="95">
        <f t="shared" si="56"/>
        <v>0</v>
      </c>
      <c r="H201" s="95">
        <f t="shared" si="56"/>
        <v>0</v>
      </c>
      <c r="I201" s="95">
        <f t="shared" si="56"/>
        <v>0</v>
      </c>
      <c r="J201" s="95">
        <f t="shared" si="56"/>
        <v>0</v>
      </c>
      <c r="K201" s="93"/>
      <c r="L201" s="93"/>
      <c r="M201" s="93"/>
      <c r="N201" s="93"/>
      <c r="O201" s="93"/>
      <c r="P201" s="93"/>
      <c r="Q201" s="93"/>
      <c r="R201" s="93"/>
      <c r="S201" s="93"/>
      <c r="T201" s="93"/>
      <c r="U201" s="93"/>
      <c r="V201" s="93"/>
      <c r="W201" s="93"/>
    </row>
    <row r="202" spans="1:23">
      <c r="A202" s="94" t="str">
        <f t="shared" si="55"/>
        <v>Udid</v>
      </c>
      <c r="B202" s="94"/>
      <c r="C202" s="247">
        <v>70</v>
      </c>
      <c r="D202" s="95">
        <f t="shared" si="56"/>
        <v>0</v>
      </c>
      <c r="E202" s="95">
        <f t="shared" si="56"/>
        <v>0</v>
      </c>
      <c r="F202" s="95">
        <f t="shared" si="56"/>
        <v>0</v>
      </c>
      <c r="G202" s="95">
        <f t="shared" si="56"/>
        <v>0</v>
      </c>
      <c r="H202" s="95">
        <f t="shared" si="56"/>
        <v>0</v>
      </c>
      <c r="I202" s="95">
        <f t="shared" si="56"/>
        <v>0</v>
      </c>
      <c r="J202" s="95">
        <f t="shared" si="56"/>
        <v>0</v>
      </c>
      <c r="K202" s="93"/>
      <c r="L202" s="93"/>
      <c r="M202" s="93"/>
      <c r="N202" s="93"/>
      <c r="O202" s="93"/>
      <c r="P202" s="93"/>
      <c r="Q202" s="93"/>
      <c r="R202" s="93"/>
      <c r="S202" s="93"/>
      <c r="T202" s="93"/>
      <c r="U202" s="93"/>
      <c r="V202" s="93"/>
      <c r="W202" s="93"/>
    </row>
    <row r="203" spans="1:23">
      <c r="A203" s="94" t="str">
        <f t="shared" si="55"/>
        <v>Bajra</v>
      </c>
      <c r="B203" s="94"/>
      <c r="C203" s="247">
        <v>25</v>
      </c>
      <c r="D203" s="95">
        <f t="shared" si="56"/>
        <v>0</v>
      </c>
      <c r="E203" s="95">
        <f t="shared" si="56"/>
        <v>0</v>
      </c>
      <c r="F203" s="95">
        <f t="shared" si="56"/>
        <v>0</v>
      </c>
      <c r="G203" s="95">
        <f t="shared" si="56"/>
        <v>0</v>
      </c>
      <c r="H203" s="95">
        <f t="shared" si="56"/>
        <v>0</v>
      </c>
      <c r="I203" s="95">
        <f t="shared" si="56"/>
        <v>0</v>
      </c>
      <c r="J203" s="95">
        <f t="shared" si="56"/>
        <v>0</v>
      </c>
      <c r="K203" s="93"/>
      <c r="L203" s="93"/>
      <c r="M203" s="93"/>
      <c r="N203" s="93"/>
      <c r="O203" s="93"/>
      <c r="P203" s="93"/>
      <c r="Q203" s="93"/>
      <c r="R203" s="93"/>
      <c r="S203" s="93"/>
      <c r="T203" s="93"/>
      <c r="U203" s="93"/>
      <c r="V203" s="93"/>
      <c r="W203" s="93"/>
    </row>
    <row r="204" spans="1:23">
      <c r="A204" s="94" t="str">
        <f t="shared" si="55"/>
        <v>Jawar</v>
      </c>
      <c r="B204" s="94"/>
      <c r="C204" s="247">
        <v>25</v>
      </c>
      <c r="D204" s="95">
        <f t="shared" si="56"/>
        <v>0</v>
      </c>
      <c r="E204" s="95">
        <f t="shared" si="56"/>
        <v>0</v>
      </c>
      <c r="F204" s="95">
        <f t="shared" si="56"/>
        <v>0</v>
      </c>
      <c r="G204" s="95">
        <f t="shared" si="56"/>
        <v>0</v>
      </c>
      <c r="H204" s="95">
        <f t="shared" si="56"/>
        <v>0</v>
      </c>
      <c r="I204" s="95">
        <f t="shared" si="56"/>
        <v>0</v>
      </c>
      <c r="J204" s="95">
        <f t="shared" si="56"/>
        <v>0</v>
      </c>
      <c r="K204" s="93"/>
      <c r="L204" s="93"/>
      <c r="M204" s="93"/>
      <c r="N204" s="93"/>
      <c r="O204" s="93"/>
      <c r="P204" s="93"/>
      <c r="Q204" s="93"/>
      <c r="R204" s="93"/>
      <c r="S204" s="93"/>
      <c r="T204" s="93"/>
      <c r="U204" s="93"/>
      <c r="V204" s="93"/>
      <c r="W204" s="93"/>
    </row>
    <row r="205" spans="1:23">
      <c r="A205" s="96" t="str">
        <f t="shared" si="55"/>
        <v>Rabi Crop</v>
      </c>
      <c r="B205" s="94"/>
      <c r="C205" s="247"/>
      <c r="D205" s="95">
        <f t="shared" si="56"/>
        <v>0</v>
      </c>
      <c r="E205" s="95">
        <f t="shared" si="56"/>
        <v>0</v>
      </c>
      <c r="F205" s="95">
        <f t="shared" si="56"/>
        <v>0</v>
      </c>
      <c r="G205" s="95">
        <f t="shared" si="56"/>
        <v>0</v>
      </c>
      <c r="H205" s="95">
        <f t="shared" si="56"/>
        <v>0</v>
      </c>
      <c r="I205" s="95">
        <f t="shared" si="56"/>
        <v>0</v>
      </c>
      <c r="J205" s="95">
        <f t="shared" si="56"/>
        <v>0</v>
      </c>
      <c r="K205" s="93"/>
      <c r="L205" s="93"/>
      <c r="M205" s="93"/>
      <c r="N205" s="93"/>
      <c r="O205" s="93"/>
      <c r="P205" s="93"/>
      <c r="Q205" s="93"/>
      <c r="R205" s="93"/>
      <c r="S205" s="93"/>
      <c r="T205" s="93"/>
      <c r="U205" s="93"/>
      <c r="V205" s="93"/>
      <c r="W205" s="93"/>
    </row>
    <row r="206" spans="1:23">
      <c r="A206" s="94" t="str">
        <f t="shared" si="55"/>
        <v>Wheat</v>
      </c>
      <c r="B206" s="94"/>
      <c r="C206" s="247">
        <v>35</v>
      </c>
      <c r="D206" s="95">
        <f t="shared" si="56"/>
        <v>0</v>
      </c>
      <c r="E206" s="95">
        <f t="shared" si="56"/>
        <v>0</v>
      </c>
      <c r="F206" s="95">
        <f t="shared" si="56"/>
        <v>0</v>
      </c>
      <c r="G206" s="95">
        <f t="shared" si="56"/>
        <v>0</v>
      </c>
      <c r="H206" s="95">
        <f t="shared" si="56"/>
        <v>0</v>
      </c>
      <c r="I206" s="95">
        <f t="shared" si="56"/>
        <v>0</v>
      </c>
      <c r="J206" s="95">
        <f t="shared" si="56"/>
        <v>0</v>
      </c>
      <c r="K206" s="93"/>
      <c r="L206" s="93"/>
      <c r="M206" s="93"/>
      <c r="N206" s="93"/>
      <c r="O206" s="93"/>
      <c r="P206" s="93"/>
      <c r="Q206" s="93"/>
      <c r="R206" s="93"/>
      <c r="S206" s="93"/>
      <c r="T206" s="93"/>
      <c r="U206" s="93"/>
      <c r="V206" s="93"/>
      <c r="W206" s="93"/>
    </row>
    <row r="207" spans="1:23">
      <c r="A207" s="94" t="str">
        <f t="shared" si="55"/>
        <v>Channa</v>
      </c>
      <c r="B207" s="94"/>
      <c r="C207" s="247">
        <v>70</v>
      </c>
      <c r="D207" s="95">
        <f t="shared" ref="D207:J216" si="57">C72*$C207*D$124</f>
        <v>0</v>
      </c>
      <c r="E207" s="95">
        <f t="shared" si="57"/>
        <v>0</v>
      </c>
      <c r="F207" s="95">
        <f t="shared" si="57"/>
        <v>0</v>
      </c>
      <c r="G207" s="95">
        <f t="shared" si="57"/>
        <v>0</v>
      </c>
      <c r="H207" s="95">
        <f t="shared" si="57"/>
        <v>0</v>
      </c>
      <c r="I207" s="95">
        <f t="shared" si="57"/>
        <v>0</v>
      </c>
      <c r="J207" s="95">
        <f t="shared" si="57"/>
        <v>0</v>
      </c>
      <c r="K207" s="93"/>
      <c r="L207" s="93"/>
      <c r="M207" s="93"/>
      <c r="N207" s="93"/>
      <c r="O207" s="93"/>
      <c r="P207" s="93"/>
      <c r="Q207" s="93"/>
      <c r="R207" s="93"/>
      <c r="S207" s="93"/>
      <c r="T207" s="93"/>
      <c r="U207" s="93"/>
      <c r="V207" s="93"/>
      <c r="W207" s="93"/>
    </row>
    <row r="208" spans="1:23">
      <c r="A208" s="94" t="str">
        <f t="shared" si="55"/>
        <v>Jawar</v>
      </c>
      <c r="B208" s="94"/>
      <c r="C208" s="247">
        <v>25</v>
      </c>
      <c r="D208" s="95">
        <f t="shared" si="57"/>
        <v>0</v>
      </c>
      <c r="E208" s="95">
        <f t="shared" si="57"/>
        <v>0</v>
      </c>
      <c r="F208" s="95">
        <f t="shared" si="57"/>
        <v>0</v>
      </c>
      <c r="G208" s="95">
        <f t="shared" si="57"/>
        <v>0</v>
      </c>
      <c r="H208" s="95">
        <f t="shared" si="57"/>
        <v>0</v>
      </c>
      <c r="I208" s="95">
        <f t="shared" si="57"/>
        <v>0</v>
      </c>
      <c r="J208" s="95">
        <f t="shared" si="57"/>
        <v>0</v>
      </c>
      <c r="K208" s="93"/>
      <c r="L208" s="93"/>
      <c r="M208" s="93"/>
      <c r="N208" s="93"/>
      <c r="O208" s="93"/>
      <c r="P208" s="93"/>
      <c r="Q208" s="93"/>
      <c r="R208" s="93"/>
      <c r="S208" s="93"/>
      <c r="T208" s="93"/>
      <c r="U208" s="93"/>
      <c r="V208" s="93"/>
      <c r="W208" s="93"/>
    </row>
    <row r="209" spans="1:23">
      <c r="A209" s="94" t="str">
        <f t="shared" si="55"/>
        <v>Maize</v>
      </c>
      <c r="B209" s="94"/>
      <c r="C209" s="247">
        <v>25</v>
      </c>
      <c r="D209" s="95">
        <f t="shared" si="57"/>
        <v>0</v>
      </c>
      <c r="E209" s="95">
        <f t="shared" si="57"/>
        <v>0</v>
      </c>
      <c r="F209" s="95">
        <f t="shared" si="57"/>
        <v>0</v>
      </c>
      <c r="G209" s="95">
        <f t="shared" si="57"/>
        <v>0</v>
      </c>
      <c r="H209" s="95">
        <f t="shared" si="57"/>
        <v>0</v>
      </c>
      <c r="I209" s="95">
        <f t="shared" si="57"/>
        <v>0</v>
      </c>
      <c r="J209" s="95">
        <f t="shared" si="57"/>
        <v>0</v>
      </c>
      <c r="K209" s="93"/>
      <c r="L209" s="93"/>
      <c r="M209" s="93"/>
      <c r="N209" s="93"/>
      <c r="O209" s="93"/>
      <c r="P209" s="93"/>
      <c r="Q209" s="93"/>
      <c r="R209" s="93"/>
      <c r="S209" s="93"/>
      <c r="T209" s="93"/>
      <c r="U209" s="93"/>
      <c r="V209" s="93"/>
      <c r="W209" s="93"/>
    </row>
    <row r="210" spans="1:23">
      <c r="A210" s="94" t="str">
        <f t="shared" si="55"/>
        <v>Safflower</v>
      </c>
      <c r="B210" s="94"/>
      <c r="C210" s="247">
        <v>25</v>
      </c>
      <c r="D210" s="95">
        <f t="shared" si="57"/>
        <v>0</v>
      </c>
      <c r="E210" s="95">
        <f t="shared" si="57"/>
        <v>0</v>
      </c>
      <c r="F210" s="95">
        <f t="shared" si="57"/>
        <v>0</v>
      </c>
      <c r="G210" s="95">
        <f t="shared" si="57"/>
        <v>0</v>
      </c>
      <c r="H210" s="95">
        <f t="shared" si="57"/>
        <v>0</v>
      </c>
      <c r="I210" s="95">
        <f t="shared" si="57"/>
        <v>0</v>
      </c>
      <c r="J210" s="95">
        <f t="shared" si="57"/>
        <v>0</v>
      </c>
      <c r="K210" s="93"/>
      <c r="L210" s="93"/>
      <c r="M210" s="93"/>
      <c r="N210" s="93"/>
      <c r="O210" s="93"/>
      <c r="P210" s="93"/>
      <c r="Q210" s="93"/>
      <c r="R210" s="93"/>
      <c r="S210" s="93"/>
      <c r="T210" s="93"/>
      <c r="U210" s="93"/>
      <c r="V210" s="93"/>
      <c r="W210" s="93"/>
    </row>
    <row r="211" spans="1:23">
      <c r="A211" s="94" t="str">
        <f t="shared" si="55"/>
        <v>Groundnut</v>
      </c>
      <c r="B211" s="94"/>
      <c r="C211" s="247"/>
      <c r="D211" s="95">
        <f t="shared" si="57"/>
        <v>0</v>
      </c>
      <c r="E211" s="95">
        <f t="shared" si="57"/>
        <v>0</v>
      </c>
      <c r="F211" s="95">
        <f t="shared" si="57"/>
        <v>0</v>
      </c>
      <c r="G211" s="95">
        <f t="shared" si="57"/>
        <v>0</v>
      </c>
      <c r="H211" s="95">
        <f t="shared" si="57"/>
        <v>0</v>
      </c>
      <c r="I211" s="95">
        <f t="shared" si="57"/>
        <v>0</v>
      </c>
      <c r="J211" s="95">
        <f t="shared" si="57"/>
        <v>0</v>
      </c>
      <c r="K211" s="93"/>
      <c r="L211" s="93"/>
      <c r="M211" s="93"/>
      <c r="N211" s="93"/>
      <c r="O211" s="93"/>
      <c r="P211" s="93"/>
      <c r="Q211" s="93"/>
      <c r="R211" s="93"/>
      <c r="S211" s="93"/>
      <c r="T211" s="93"/>
      <c r="U211" s="93"/>
      <c r="V211" s="93"/>
      <c r="W211" s="93"/>
    </row>
    <row r="212" spans="1:23">
      <c r="A212" s="94">
        <f t="shared" si="55"/>
        <v>0</v>
      </c>
      <c r="B212" s="94"/>
      <c r="C212" s="247"/>
      <c r="D212" s="95">
        <f t="shared" si="57"/>
        <v>0</v>
      </c>
      <c r="E212" s="95">
        <f t="shared" si="57"/>
        <v>0</v>
      </c>
      <c r="F212" s="95">
        <f t="shared" si="57"/>
        <v>0</v>
      </c>
      <c r="G212" s="95">
        <f t="shared" si="57"/>
        <v>0</v>
      </c>
      <c r="H212" s="95">
        <f t="shared" si="57"/>
        <v>0</v>
      </c>
      <c r="I212" s="95">
        <f t="shared" si="57"/>
        <v>0</v>
      </c>
      <c r="J212" s="95">
        <f t="shared" si="57"/>
        <v>0</v>
      </c>
      <c r="K212" s="93"/>
      <c r="L212" s="93"/>
      <c r="M212" s="93"/>
      <c r="N212" s="93"/>
      <c r="O212" s="93"/>
      <c r="P212" s="93"/>
      <c r="Q212" s="93"/>
      <c r="R212" s="93"/>
      <c r="S212" s="93"/>
      <c r="T212" s="93"/>
      <c r="U212" s="93"/>
      <c r="V212" s="93"/>
      <c r="W212" s="93"/>
    </row>
    <row r="213" spans="1:23">
      <c r="A213" s="94">
        <f t="shared" si="55"/>
        <v>0</v>
      </c>
      <c r="B213" s="94"/>
      <c r="C213" s="247"/>
      <c r="D213" s="95">
        <f t="shared" si="57"/>
        <v>0</v>
      </c>
      <c r="E213" s="95">
        <f t="shared" si="57"/>
        <v>0</v>
      </c>
      <c r="F213" s="95">
        <f t="shared" si="57"/>
        <v>0</v>
      </c>
      <c r="G213" s="95">
        <f t="shared" si="57"/>
        <v>0</v>
      </c>
      <c r="H213" s="95">
        <f t="shared" si="57"/>
        <v>0</v>
      </c>
      <c r="I213" s="95">
        <f t="shared" si="57"/>
        <v>0</v>
      </c>
      <c r="J213" s="95">
        <f t="shared" si="57"/>
        <v>0</v>
      </c>
      <c r="K213" s="93"/>
      <c r="L213" s="93"/>
      <c r="M213" s="93"/>
      <c r="N213" s="93"/>
      <c r="O213" s="93"/>
      <c r="P213" s="93"/>
      <c r="Q213" s="93"/>
      <c r="R213" s="93"/>
      <c r="S213" s="93"/>
      <c r="T213" s="93"/>
      <c r="U213" s="93"/>
      <c r="V213" s="93"/>
      <c r="W213" s="93"/>
    </row>
    <row r="214" spans="1:23">
      <c r="A214" s="94" t="str">
        <f t="shared" si="55"/>
        <v>Summer</v>
      </c>
      <c r="B214" s="94"/>
      <c r="C214" s="247"/>
      <c r="D214" s="95">
        <f t="shared" si="57"/>
        <v>0</v>
      </c>
      <c r="E214" s="95">
        <f t="shared" si="57"/>
        <v>0</v>
      </c>
      <c r="F214" s="95">
        <f t="shared" si="57"/>
        <v>0</v>
      </c>
      <c r="G214" s="95">
        <f t="shared" si="57"/>
        <v>0</v>
      </c>
      <c r="H214" s="95">
        <f t="shared" si="57"/>
        <v>0</v>
      </c>
      <c r="I214" s="95">
        <f t="shared" si="57"/>
        <v>0</v>
      </c>
      <c r="J214" s="95">
        <f t="shared" si="57"/>
        <v>0</v>
      </c>
      <c r="K214" s="93"/>
      <c r="L214" s="93"/>
      <c r="M214" s="93"/>
      <c r="N214" s="93"/>
      <c r="O214" s="93"/>
      <c r="P214" s="93"/>
      <c r="Q214" s="93"/>
      <c r="R214" s="93"/>
      <c r="S214" s="93"/>
      <c r="T214" s="93"/>
      <c r="U214" s="93"/>
      <c r="V214" s="93"/>
      <c r="W214" s="93"/>
    </row>
    <row r="215" spans="1:23">
      <c r="A215" s="94" t="str">
        <f t="shared" si="55"/>
        <v>Soybean</v>
      </c>
      <c r="B215" s="94"/>
      <c r="C215" s="247"/>
      <c r="D215" s="95">
        <f t="shared" si="57"/>
        <v>0</v>
      </c>
      <c r="E215" s="95">
        <f t="shared" si="57"/>
        <v>0</v>
      </c>
      <c r="F215" s="95">
        <f t="shared" si="57"/>
        <v>0</v>
      </c>
      <c r="G215" s="95">
        <f t="shared" si="57"/>
        <v>0</v>
      </c>
      <c r="H215" s="95">
        <f t="shared" si="57"/>
        <v>0</v>
      </c>
      <c r="I215" s="95">
        <f t="shared" si="57"/>
        <v>0</v>
      </c>
      <c r="J215" s="95">
        <f t="shared" si="57"/>
        <v>0</v>
      </c>
      <c r="K215" s="93"/>
      <c r="L215" s="93"/>
      <c r="M215" s="93"/>
      <c r="N215" s="93"/>
      <c r="O215" s="93"/>
      <c r="P215" s="93"/>
      <c r="Q215" s="93"/>
      <c r="R215" s="93"/>
      <c r="S215" s="93"/>
      <c r="T215" s="93"/>
      <c r="U215" s="93"/>
      <c r="V215" s="93"/>
      <c r="W215" s="93"/>
    </row>
    <row r="216" spans="1:23">
      <c r="A216" s="94" t="str">
        <f t="shared" si="55"/>
        <v>Paddy</v>
      </c>
      <c r="B216" s="94"/>
      <c r="C216" s="247"/>
      <c r="D216" s="95">
        <f t="shared" si="57"/>
        <v>0</v>
      </c>
      <c r="E216" s="95">
        <f t="shared" si="57"/>
        <v>0</v>
      </c>
      <c r="F216" s="95">
        <f t="shared" si="57"/>
        <v>0</v>
      </c>
      <c r="G216" s="95">
        <f t="shared" si="57"/>
        <v>0</v>
      </c>
      <c r="H216" s="95">
        <f t="shared" si="57"/>
        <v>0</v>
      </c>
      <c r="I216" s="95">
        <f t="shared" si="57"/>
        <v>0</v>
      </c>
      <c r="J216" s="95">
        <f t="shared" si="57"/>
        <v>0</v>
      </c>
      <c r="K216" s="93"/>
      <c r="L216" s="93"/>
      <c r="M216" s="93"/>
      <c r="N216" s="93"/>
      <c r="O216" s="93"/>
      <c r="P216" s="93"/>
      <c r="Q216" s="93"/>
      <c r="R216" s="93"/>
      <c r="S216" s="93"/>
      <c r="T216" s="93"/>
      <c r="U216" s="93"/>
      <c r="V216" s="93"/>
      <c r="W216" s="93"/>
    </row>
    <row r="217" spans="1:23">
      <c r="A217" s="94">
        <f t="shared" si="55"/>
        <v>0</v>
      </c>
      <c r="B217" s="94"/>
      <c r="C217" s="247"/>
      <c r="D217" s="95">
        <f t="shared" ref="D217:J219" si="58">C82*$C217*D$124</f>
        <v>0</v>
      </c>
      <c r="E217" s="95">
        <f t="shared" si="58"/>
        <v>0</v>
      </c>
      <c r="F217" s="95">
        <f t="shared" si="58"/>
        <v>0</v>
      </c>
      <c r="G217" s="95">
        <f t="shared" si="58"/>
        <v>0</v>
      </c>
      <c r="H217" s="95">
        <f t="shared" si="58"/>
        <v>0</v>
      </c>
      <c r="I217" s="95">
        <f t="shared" si="58"/>
        <v>0</v>
      </c>
      <c r="J217" s="95">
        <f t="shared" si="58"/>
        <v>0</v>
      </c>
      <c r="K217" s="93"/>
      <c r="L217" s="93"/>
      <c r="M217" s="93"/>
      <c r="N217" s="93"/>
      <c r="O217" s="93"/>
      <c r="P217" s="93"/>
      <c r="Q217" s="93"/>
      <c r="R217" s="93"/>
      <c r="S217" s="93"/>
      <c r="T217" s="93"/>
      <c r="U217" s="93"/>
      <c r="V217" s="93"/>
      <c r="W217" s="93"/>
    </row>
    <row r="218" spans="1:23">
      <c r="A218" s="94">
        <f t="shared" si="55"/>
        <v>0</v>
      </c>
      <c r="B218" s="94"/>
      <c r="C218" s="247"/>
      <c r="D218" s="95">
        <f t="shared" si="58"/>
        <v>0</v>
      </c>
      <c r="E218" s="95">
        <f t="shared" si="58"/>
        <v>0</v>
      </c>
      <c r="F218" s="95">
        <f t="shared" si="58"/>
        <v>0</v>
      </c>
      <c r="G218" s="95">
        <f t="shared" si="58"/>
        <v>0</v>
      </c>
      <c r="H218" s="95">
        <f t="shared" si="58"/>
        <v>0</v>
      </c>
      <c r="I218" s="95">
        <f t="shared" si="58"/>
        <v>0</v>
      </c>
      <c r="J218" s="95">
        <f t="shared" si="58"/>
        <v>0</v>
      </c>
      <c r="K218" s="93"/>
      <c r="L218" s="93"/>
      <c r="M218" s="93"/>
      <c r="N218" s="93"/>
      <c r="O218" s="93"/>
      <c r="P218" s="93"/>
      <c r="Q218" s="93"/>
      <c r="R218" s="93"/>
      <c r="S218" s="93"/>
      <c r="T218" s="93"/>
      <c r="U218" s="93"/>
      <c r="V218" s="93"/>
      <c r="W218" s="93"/>
    </row>
    <row r="219" spans="1:23">
      <c r="A219" s="94">
        <f t="shared" si="55"/>
        <v>0</v>
      </c>
      <c r="B219" s="94"/>
      <c r="C219" s="247"/>
      <c r="D219" s="95">
        <f t="shared" si="58"/>
        <v>0</v>
      </c>
      <c r="E219" s="95">
        <f t="shared" si="58"/>
        <v>0</v>
      </c>
      <c r="F219" s="95">
        <f t="shared" si="58"/>
        <v>0</v>
      </c>
      <c r="G219" s="95">
        <f t="shared" si="58"/>
        <v>0</v>
      </c>
      <c r="H219" s="95">
        <f t="shared" si="58"/>
        <v>0</v>
      </c>
      <c r="I219" s="95">
        <f t="shared" si="58"/>
        <v>0</v>
      </c>
      <c r="J219" s="95">
        <f t="shared" si="58"/>
        <v>0</v>
      </c>
      <c r="K219" s="93"/>
      <c r="L219" s="93"/>
      <c r="M219" s="93"/>
      <c r="N219" s="93"/>
      <c r="O219" s="93"/>
      <c r="P219" s="93"/>
      <c r="Q219" s="93"/>
      <c r="R219" s="93"/>
      <c r="S219" s="93"/>
      <c r="T219" s="93"/>
      <c r="U219" s="93"/>
      <c r="V219" s="93"/>
      <c r="W219" s="93"/>
    </row>
    <row r="220" spans="1:23">
      <c r="A220" s="94" t="str">
        <f t="shared" si="55"/>
        <v>Fruit  &amp; Vegetables Crop Production Details</v>
      </c>
      <c r="B220" s="94"/>
      <c r="C220" s="95"/>
      <c r="D220" s="95"/>
      <c r="E220" s="95"/>
      <c r="F220" s="95"/>
      <c r="G220" s="95"/>
      <c r="H220" s="95"/>
      <c r="I220" s="95"/>
      <c r="J220" s="95"/>
      <c r="K220" s="93"/>
      <c r="L220" s="93"/>
      <c r="M220" s="93"/>
      <c r="N220" s="93"/>
      <c r="O220" s="93"/>
      <c r="P220" s="93"/>
      <c r="Q220" s="93"/>
      <c r="R220" s="93"/>
      <c r="S220" s="93"/>
      <c r="T220" s="93"/>
      <c r="U220" s="93"/>
      <c r="V220" s="93"/>
      <c r="W220" s="93"/>
    </row>
    <row r="221" spans="1:23">
      <c r="A221" s="94" t="str">
        <f t="shared" si="55"/>
        <v>Onion</v>
      </c>
      <c r="B221" s="94"/>
      <c r="C221" s="247"/>
      <c r="D221" s="95">
        <f t="shared" ref="D221:J230" si="59">C86*$C221*D$124</f>
        <v>0</v>
      </c>
      <c r="E221" s="95">
        <f t="shared" si="59"/>
        <v>0</v>
      </c>
      <c r="F221" s="95">
        <f t="shared" si="59"/>
        <v>0</v>
      </c>
      <c r="G221" s="95">
        <f t="shared" si="59"/>
        <v>0</v>
      </c>
      <c r="H221" s="95">
        <f t="shared" si="59"/>
        <v>0</v>
      </c>
      <c r="I221" s="95">
        <f t="shared" si="59"/>
        <v>0</v>
      </c>
      <c r="J221" s="95">
        <f t="shared" si="59"/>
        <v>0</v>
      </c>
      <c r="K221" s="93"/>
      <c r="L221" s="93"/>
      <c r="M221" s="93"/>
      <c r="N221" s="93"/>
      <c r="O221" s="93"/>
      <c r="P221" s="93"/>
      <c r="Q221" s="93"/>
      <c r="R221" s="93"/>
      <c r="S221" s="93"/>
      <c r="T221" s="93"/>
      <c r="U221" s="93"/>
      <c r="V221" s="93"/>
      <c r="W221" s="93"/>
    </row>
    <row r="222" spans="1:23">
      <c r="A222" s="94" t="str">
        <f t="shared" si="55"/>
        <v>Tomato</v>
      </c>
      <c r="B222" s="94"/>
      <c r="C222" s="247"/>
      <c r="D222" s="95">
        <f t="shared" si="59"/>
        <v>0</v>
      </c>
      <c r="E222" s="95">
        <f t="shared" si="59"/>
        <v>0</v>
      </c>
      <c r="F222" s="95">
        <f t="shared" si="59"/>
        <v>0</v>
      </c>
      <c r="G222" s="95">
        <f t="shared" si="59"/>
        <v>0</v>
      </c>
      <c r="H222" s="95">
        <f t="shared" si="59"/>
        <v>0</v>
      </c>
      <c r="I222" s="95">
        <f t="shared" si="59"/>
        <v>0</v>
      </c>
      <c r="J222" s="95">
        <f t="shared" si="59"/>
        <v>0</v>
      </c>
      <c r="K222" s="93"/>
      <c r="L222" s="93"/>
      <c r="M222" s="93"/>
      <c r="N222" s="93"/>
      <c r="O222" s="93"/>
      <c r="P222" s="93"/>
      <c r="Q222" s="93"/>
      <c r="R222" s="93"/>
      <c r="S222" s="93"/>
      <c r="T222" s="93"/>
      <c r="U222" s="93"/>
      <c r="V222" s="93"/>
      <c r="W222" s="93"/>
    </row>
    <row r="223" spans="1:23">
      <c r="A223" s="94" t="str">
        <f t="shared" si="55"/>
        <v>Okra</v>
      </c>
      <c r="B223" s="94"/>
      <c r="C223" s="247"/>
      <c r="D223" s="95">
        <f t="shared" si="59"/>
        <v>0</v>
      </c>
      <c r="E223" s="95">
        <f t="shared" si="59"/>
        <v>0</v>
      </c>
      <c r="F223" s="95">
        <f t="shared" si="59"/>
        <v>0</v>
      </c>
      <c r="G223" s="95">
        <f t="shared" si="59"/>
        <v>0</v>
      </c>
      <c r="H223" s="95">
        <f t="shared" si="59"/>
        <v>0</v>
      </c>
      <c r="I223" s="95">
        <f t="shared" si="59"/>
        <v>0</v>
      </c>
      <c r="J223" s="95">
        <f t="shared" si="59"/>
        <v>0</v>
      </c>
      <c r="K223" s="93"/>
      <c r="L223" s="93"/>
      <c r="M223" s="93"/>
      <c r="N223" s="93"/>
      <c r="O223" s="93"/>
      <c r="P223" s="93"/>
      <c r="Q223" s="93"/>
      <c r="R223" s="93"/>
      <c r="S223" s="93"/>
      <c r="T223" s="93"/>
      <c r="U223" s="93"/>
      <c r="V223" s="93"/>
      <c r="W223" s="93"/>
    </row>
    <row r="224" spans="1:23">
      <c r="A224" s="94" t="str">
        <f t="shared" si="55"/>
        <v>Chilli</v>
      </c>
      <c r="B224" s="94"/>
      <c r="C224" s="247"/>
      <c r="D224" s="95">
        <f t="shared" si="59"/>
        <v>0</v>
      </c>
      <c r="E224" s="95">
        <f t="shared" si="59"/>
        <v>0</v>
      </c>
      <c r="F224" s="95">
        <f t="shared" si="59"/>
        <v>0</v>
      </c>
      <c r="G224" s="95">
        <f t="shared" si="59"/>
        <v>0</v>
      </c>
      <c r="H224" s="95">
        <f t="shared" si="59"/>
        <v>0</v>
      </c>
      <c r="I224" s="95">
        <f t="shared" si="59"/>
        <v>0</v>
      </c>
      <c r="J224" s="95">
        <f t="shared" si="59"/>
        <v>0</v>
      </c>
      <c r="K224" s="93"/>
      <c r="L224" s="93"/>
      <c r="M224" s="93"/>
      <c r="N224" s="93"/>
      <c r="O224" s="93"/>
      <c r="P224" s="93"/>
      <c r="Q224" s="93"/>
      <c r="R224" s="93"/>
      <c r="S224" s="93"/>
      <c r="T224" s="93"/>
      <c r="U224" s="93"/>
      <c r="V224" s="93"/>
      <c r="W224" s="93"/>
    </row>
    <row r="225" spans="1:23">
      <c r="A225" s="94" t="str">
        <f t="shared" si="55"/>
        <v>Potato</v>
      </c>
      <c r="B225" s="94"/>
      <c r="C225" s="247"/>
      <c r="D225" s="95">
        <f t="shared" si="59"/>
        <v>0</v>
      </c>
      <c r="E225" s="95">
        <f t="shared" si="59"/>
        <v>0</v>
      </c>
      <c r="F225" s="95">
        <f t="shared" si="59"/>
        <v>0</v>
      </c>
      <c r="G225" s="95">
        <f t="shared" si="59"/>
        <v>0</v>
      </c>
      <c r="H225" s="95">
        <f t="shared" si="59"/>
        <v>0</v>
      </c>
      <c r="I225" s="95">
        <f t="shared" si="59"/>
        <v>0</v>
      </c>
      <c r="J225" s="95">
        <f t="shared" si="59"/>
        <v>0</v>
      </c>
      <c r="K225" s="93"/>
      <c r="L225" s="93"/>
      <c r="M225" s="93"/>
      <c r="N225" s="93"/>
      <c r="O225" s="93"/>
      <c r="P225" s="93"/>
      <c r="Q225" s="93"/>
      <c r="R225" s="93"/>
      <c r="S225" s="93"/>
      <c r="T225" s="93"/>
      <c r="U225" s="93"/>
      <c r="V225" s="93"/>
      <c r="W225" s="93"/>
    </row>
    <row r="226" spans="1:23">
      <c r="A226" s="94">
        <f t="shared" si="55"/>
        <v>0</v>
      </c>
      <c r="B226" s="94"/>
      <c r="C226" s="247"/>
      <c r="D226" s="95">
        <f t="shared" si="59"/>
        <v>0</v>
      </c>
      <c r="E226" s="95">
        <f t="shared" si="59"/>
        <v>0</v>
      </c>
      <c r="F226" s="95">
        <f t="shared" si="59"/>
        <v>0</v>
      </c>
      <c r="G226" s="95">
        <f t="shared" si="59"/>
        <v>0</v>
      </c>
      <c r="H226" s="95">
        <f t="shared" si="59"/>
        <v>0</v>
      </c>
      <c r="I226" s="95">
        <f t="shared" si="59"/>
        <v>0</v>
      </c>
      <c r="J226" s="95">
        <f t="shared" si="59"/>
        <v>0</v>
      </c>
      <c r="K226" s="93"/>
      <c r="L226" s="93"/>
      <c r="M226" s="93"/>
      <c r="N226" s="93"/>
      <c r="O226" s="93"/>
      <c r="P226" s="93"/>
      <c r="Q226" s="93"/>
      <c r="R226" s="93"/>
      <c r="S226" s="93"/>
      <c r="T226" s="93"/>
      <c r="U226" s="93"/>
      <c r="V226" s="93"/>
      <c r="W226" s="93"/>
    </row>
    <row r="227" spans="1:23">
      <c r="A227" s="94">
        <f t="shared" si="55"/>
        <v>0</v>
      </c>
      <c r="B227" s="94"/>
      <c r="C227" s="247"/>
      <c r="D227" s="95">
        <f t="shared" si="59"/>
        <v>0</v>
      </c>
      <c r="E227" s="95">
        <f t="shared" si="59"/>
        <v>0</v>
      </c>
      <c r="F227" s="95">
        <f t="shared" si="59"/>
        <v>0</v>
      </c>
      <c r="G227" s="95">
        <f t="shared" si="59"/>
        <v>0</v>
      </c>
      <c r="H227" s="95">
        <f t="shared" si="59"/>
        <v>0</v>
      </c>
      <c r="I227" s="95">
        <f t="shared" si="59"/>
        <v>0</v>
      </c>
      <c r="J227" s="95">
        <f t="shared" si="59"/>
        <v>0</v>
      </c>
      <c r="K227" s="93"/>
      <c r="L227" s="93"/>
      <c r="M227" s="93"/>
      <c r="N227" s="93"/>
      <c r="O227" s="93"/>
      <c r="P227" s="93"/>
      <c r="Q227" s="93"/>
      <c r="R227" s="93"/>
      <c r="S227" s="93"/>
      <c r="T227" s="93"/>
      <c r="U227" s="93"/>
      <c r="V227" s="93"/>
      <c r="W227" s="93"/>
    </row>
    <row r="228" spans="1:23">
      <c r="A228" s="94">
        <f t="shared" si="55"/>
        <v>0</v>
      </c>
      <c r="B228" s="94"/>
      <c r="C228" s="247"/>
      <c r="D228" s="95">
        <f t="shared" si="59"/>
        <v>0</v>
      </c>
      <c r="E228" s="95">
        <f t="shared" si="59"/>
        <v>0</v>
      </c>
      <c r="F228" s="95">
        <f t="shared" si="59"/>
        <v>0</v>
      </c>
      <c r="G228" s="95">
        <f t="shared" si="59"/>
        <v>0</v>
      </c>
      <c r="H228" s="95">
        <f t="shared" si="59"/>
        <v>0</v>
      </c>
      <c r="I228" s="95">
        <f t="shared" si="59"/>
        <v>0</v>
      </c>
      <c r="J228" s="95">
        <f t="shared" si="59"/>
        <v>0</v>
      </c>
      <c r="K228" s="93"/>
      <c r="L228" s="93"/>
      <c r="M228" s="93"/>
      <c r="N228" s="93"/>
      <c r="O228" s="93"/>
      <c r="P228" s="93"/>
      <c r="Q228" s="93"/>
      <c r="R228" s="93"/>
      <c r="S228" s="93"/>
      <c r="T228" s="93"/>
      <c r="U228" s="93"/>
      <c r="V228" s="93"/>
      <c r="W228" s="93"/>
    </row>
    <row r="229" spans="1:23">
      <c r="A229" s="94">
        <f t="shared" si="55"/>
        <v>0</v>
      </c>
      <c r="B229" s="94"/>
      <c r="C229" s="247"/>
      <c r="D229" s="95">
        <f t="shared" si="59"/>
        <v>0</v>
      </c>
      <c r="E229" s="95">
        <f t="shared" si="59"/>
        <v>0</v>
      </c>
      <c r="F229" s="95">
        <f t="shared" si="59"/>
        <v>0</v>
      </c>
      <c r="G229" s="95">
        <f t="shared" si="59"/>
        <v>0</v>
      </c>
      <c r="H229" s="95">
        <f t="shared" si="59"/>
        <v>0</v>
      </c>
      <c r="I229" s="95">
        <f t="shared" si="59"/>
        <v>0</v>
      </c>
      <c r="J229" s="95">
        <f t="shared" si="59"/>
        <v>0</v>
      </c>
      <c r="K229" s="93"/>
      <c r="L229" s="93"/>
      <c r="M229" s="93"/>
      <c r="N229" s="93"/>
      <c r="O229" s="93"/>
      <c r="P229" s="93"/>
      <c r="Q229" s="93"/>
      <c r="R229" s="93"/>
      <c r="S229" s="93"/>
      <c r="T229" s="93"/>
      <c r="U229" s="93"/>
      <c r="V229" s="93"/>
      <c r="W229" s="93"/>
    </row>
    <row r="230" spans="1:23">
      <c r="A230" s="94" t="str">
        <f t="shared" si="55"/>
        <v>Onion</v>
      </c>
      <c r="B230" s="94"/>
      <c r="C230" s="247"/>
      <c r="D230" s="95">
        <f t="shared" si="59"/>
        <v>0</v>
      </c>
      <c r="E230" s="95">
        <f t="shared" si="59"/>
        <v>0</v>
      </c>
      <c r="F230" s="95">
        <f t="shared" si="59"/>
        <v>0</v>
      </c>
      <c r="G230" s="95">
        <f t="shared" si="59"/>
        <v>0</v>
      </c>
      <c r="H230" s="95">
        <f t="shared" si="59"/>
        <v>0</v>
      </c>
      <c r="I230" s="95">
        <f t="shared" si="59"/>
        <v>0</v>
      </c>
      <c r="J230" s="95">
        <f t="shared" si="59"/>
        <v>0</v>
      </c>
      <c r="K230" s="93"/>
      <c r="L230" s="93"/>
      <c r="M230" s="93"/>
      <c r="N230" s="93"/>
      <c r="O230" s="93"/>
      <c r="P230" s="93"/>
      <c r="Q230" s="93"/>
      <c r="R230" s="93"/>
      <c r="S230" s="93"/>
      <c r="T230" s="93"/>
      <c r="U230" s="93"/>
      <c r="V230" s="93"/>
      <c r="W230" s="93"/>
    </row>
    <row r="231" spans="1:23">
      <c r="A231" s="94" t="str">
        <f t="shared" si="55"/>
        <v>Tomato</v>
      </c>
      <c r="B231" s="94"/>
      <c r="C231" s="247"/>
      <c r="D231" s="95">
        <f t="shared" ref="D231:J238" si="60">C96*$C231*D$124</f>
        <v>0</v>
      </c>
      <c r="E231" s="95">
        <f t="shared" si="60"/>
        <v>0</v>
      </c>
      <c r="F231" s="95">
        <f t="shared" si="60"/>
        <v>0</v>
      </c>
      <c r="G231" s="95">
        <f t="shared" si="60"/>
        <v>0</v>
      </c>
      <c r="H231" s="95">
        <f t="shared" si="60"/>
        <v>0</v>
      </c>
      <c r="I231" s="95">
        <f t="shared" si="60"/>
        <v>0</v>
      </c>
      <c r="J231" s="95">
        <f t="shared" si="60"/>
        <v>0</v>
      </c>
      <c r="K231" s="93"/>
      <c r="L231" s="93"/>
      <c r="M231" s="93"/>
      <c r="N231" s="93"/>
      <c r="O231" s="93"/>
      <c r="P231" s="93"/>
      <c r="Q231" s="93"/>
      <c r="R231" s="93"/>
      <c r="S231" s="93"/>
      <c r="T231" s="93"/>
      <c r="U231" s="93"/>
      <c r="V231" s="93"/>
      <c r="W231" s="93"/>
    </row>
    <row r="232" spans="1:23">
      <c r="A232" s="94" t="str">
        <f t="shared" si="55"/>
        <v>Okra</v>
      </c>
      <c r="B232" s="94"/>
      <c r="C232" s="247"/>
      <c r="D232" s="95">
        <f t="shared" si="60"/>
        <v>0</v>
      </c>
      <c r="E232" s="95">
        <f t="shared" si="60"/>
        <v>0</v>
      </c>
      <c r="F232" s="95">
        <f t="shared" si="60"/>
        <v>0</v>
      </c>
      <c r="G232" s="95">
        <f t="shared" si="60"/>
        <v>0</v>
      </c>
      <c r="H232" s="95">
        <f t="shared" si="60"/>
        <v>0</v>
      </c>
      <c r="I232" s="95">
        <f t="shared" si="60"/>
        <v>0</v>
      </c>
      <c r="J232" s="95">
        <f t="shared" si="60"/>
        <v>0</v>
      </c>
      <c r="K232" s="93"/>
      <c r="L232" s="93"/>
      <c r="M232" s="93"/>
      <c r="N232" s="93"/>
      <c r="O232" s="93"/>
      <c r="P232" s="93"/>
      <c r="Q232" s="93"/>
      <c r="R232" s="93"/>
      <c r="S232" s="93"/>
      <c r="T232" s="93"/>
      <c r="U232" s="93"/>
      <c r="V232" s="93"/>
      <c r="W232" s="93"/>
    </row>
    <row r="233" spans="1:23">
      <c r="A233" s="94" t="str">
        <f t="shared" si="55"/>
        <v>Chilli</v>
      </c>
      <c r="B233" s="94"/>
      <c r="C233" s="247"/>
      <c r="D233" s="95">
        <f t="shared" si="60"/>
        <v>0</v>
      </c>
      <c r="E233" s="95">
        <f t="shared" si="60"/>
        <v>0</v>
      </c>
      <c r="F233" s="95">
        <f t="shared" si="60"/>
        <v>0</v>
      </c>
      <c r="G233" s="95">
        <f t="shared" si="60"/>
        <v>0</v>
      </c>
      <c r="H233" s="95">
        <f t="shared" si="60"/>
        <v>0</v>
      </c>
      <c r="I233" s="95">
        <f t="shared" si="60"/>
        <v>0</v>
      </c>
      <c r="J233" s="95">
        <f t="shared" si="60"/>
        <v>0</v>
      </c>
      <c r="K233" s="93"/>
      <c r="L233" s="93"/>
      <c r="M233" s="93"/>
      <c r="N233" s="93"/>
      <c r="O233" s="93"/>
      <c r="P233" s="93"/>
      <c r="Q233" s="93"/>
      <c r="R233" s="93"/>
      <c r="S233" s="93"/>
      <c r="T233" s="93"/>
      <c r="U233" s="93"/>
      <c r="V233" s="93"/>
      <c r="W233" s="93"/>
    </row>
    <row r="234" spans="1:23">
      <c r="A234" s="94" t="str">
        <f t="shared" si="55"/>
        <v>Brinjal</v>
      </c>
      <c r="B234" s="94"/>
      <c r="C234" s="247"/>
      <c r="D234" s="95">
        <f t="shared" si="60"/>
        <v>0</v>
      </c>
      <c r="E234" s="95">
        <f t="shared" si="60"/>
        <v>0</v>
      </c>
      <c r="F234" s="95">
        <f t="shared" si="60"/>
        <v>0</v>
      </c>
      <c r="G234" s="95">
        <f t="shared" si="60"/>
        <v>0</v>
      </c>
      <c r="H234" s="95">
        <f t="shared" si="60"/>
        <v>0</v>
      </c>
      <c r="I234" s="95">
        <f t="shared" si="60"/>
        <v>0</v>
      </c>
      <c r="J234" s="95">
        <f t="shared" si="60"/>
        <v>0</v>
      </c>
      <c r="K234" s="93"/>
      <c r="L234" s="93"/>
      <c r="M234" s="93"/>
      <c r="N234" s="93"/>
      <c r="O234" s="93"/>
      <c r="P234" s="93"/>
      <c r="Q234" s="93"/>
      <c r="R234" s="93"/>
      <c r="S234" s="93"/>
      <c r="T234" s="93"/>
      <c r="U234" s="93"/>
      <c r="V234" s="93"/>
      <c r="W234" s="93"/>
    </row>
    <row r="235" spans="1:23">
      <c r="A235" s="94">
        <f t="shared" si="55"/>
        <v>0</v>
      </c>
      <c r="B235" s="94"/>
      <c r="C235" s="247"/>
      <c r="D235" s="95">
        <f t="shared" si="60"/>
        <v>0</v>
      </c>
      <c r="E235" s="95">
        <f t="shared" si="60"/>
        <v>0</v>
      </c>
      <c r="F235" s="95">
        <f t="shared" si="60"/>
        <v>0</v>
      </c>
      <c r="G235" s="95">
        <f t="shared" si="60"/>
        <v>0</v>
      </c>
      <c r="H235" s="95">
        <f t="shared" si="60"/>
        <v>0</v>
      </c>
      <c r="I235" s="95">
        <f t="shared" si="60"/>
        <v>0</v>
      </c>
      <c r="J235" s="95">
        <f t="shared" si="60"/>
        <v>0</v>
      </c>
      <c r="K235" s="93"/>
      <c r="L235" s="93"/>
      <c r="M235" s="93"/>
      <c r="N235" s="93"/>
      <c r="O235" s="93"/>
      <c r="P235" s="93"/>
      <c r="Q235" s="93"/>
      <c r="R235" s="93"/>
      <c r="S235" s="93"/>
      <c r="T235" s="93"/>
      <c r="U235" s="93"/>
      <c r="V235" s="93"/>
      <c r="W235" s="93"/>
    </row>
    <row r="236" spans="1:23">
      <c r="A236" s="94">
        <f t="shared" si="55"/>
        <v>0</v>
      </c>
      <c r="B236" s="94"/>
      <c r="C236" s="247"/>
      <c r="D236" s="95">
        <f t="shared" si="60"/>
        <v>0</v>
      </c>
      <c r="E236" s="95">
        <f t="shared" si="60"/>
        <v>0</v>
      </c>
      <c r="F236" s="95">
        <f t="shared" si="60"/>
        <v>0</v>
      </c>
      <c r="G236" s="95">
        <f t="shared" si="60"/>
        <v>0</v>
      </c>
      <c r="H236" s="95">
        <f t="shared" si="60"/>
        <v>0</v>
      </c>
      <c r="I236" s="95">
        <f t="shared" si="60"/>
        <v>0</v>
      </c>
      <c r="J236" s="95">
        <f t="shared" si="60"/>
        <v>0</v>
      </c>
      <c r="K236" s="93"/>
      <c r="L236" s="93"/>
      <c r="M236" s="93"/>
      <c r="N236" s="93"/>
      <c r="O236" s="93"/>
      <c r="P236" s="93"/>
      <c r="Q236" s="93"/>
      <c r="R236" s="93"/>
      <c r="S236" s="93"/>
      <c r="T236" s="93"/>
      <c r="U236" s="93"/>
      <c r="V236" s="93"/>
      <c r="W236" s="93"/>
    </row>
    <row r="237" spans="1:23">
      <c r="A237" s="94">
        <f t="shared" si="55"/>
        <v>0</v>
      </c>
      <c r="B237" s="94"/>
      <c r="C237" s="247"/>
      <c r="D237" s="95">
        <f t="shared" si="60"/>
        <v>0</v>
      </c>
      <c r="E237" s="95">
        <f t="shared" si="60"/>
        <v>0</v>
      </c>
      <c r="F237" s="95">
        <f t="shared" si="60"/>
        <v>0</v>
      </c>
      <c r="G237" s="95">
        <f t="shared" si="60"/>
        <v>0</v>
      </c>
      <c r="H237" s="95">
        <f t="shared" si="60"/>
        <v>0</v>
      </c>
      <c r="I237" s="95">
        <f t="shared" si="60"/>
        <v>0</v>
      </c>
      <c r="J237" s="95">
        <f t="shared" si="60"/>
        <v>0</v>
      </c>
      <c r="K237" s="93"/>
      <c r="L237" s="93"/>
      <c r="M237" s="93"/>
      <c r="N237" s="93"/>
      <c r="O237" s="93"/>
      <c r="P237" s="93"/>
      <c r="Q237" s="93"/>
      <c r="R237" s="93"/>
      <c r="S237" s="93"/>
      <c r="T237" s="93"/>
      <c r="U237" s="93"/>
      <c r="V237" s="93"/>
      <c r="W237" s="93"/>
    </row>
    <row r="238" spans="1:23">
      <c r="A238" s="94">
        <f t="shared" si="55"/>
        <v>0</v>
      </c>
      <c r="B238" s="94"/>
      <c r="C238" s="247"/>
      <c r="D238" s="95">
        <f t="shared" si="60"/>
        <v>0</v>
      </c>
      <c r="E238" s="95">
        <f t="shared" si="60"/>
        <v>0</v>
      </c>
      <c r="F238" s="95">
        <f t="shared" si="60"/>
        <v>0</v>
      </c>
      <c r="G238" s="95">
        <f t="shared" si="60"/>
        <v>0</v>
      </c>
      <c r="H238" s="95">
        <f t="shared" si="60"/>
        <v>0</v>
      </c>
      <c r="I238" s="95">
        <f t="shared" si="60"/>
        <v>0</v>
      </c>
      <c r="J238" s="95">
        <f t="shared" si="60"/>
        <v>0</v>
      </c>
      <c r="K238" s="93"/>
      <c r="L238" s="93"/>
      <c r="M238" s="93"/>
      <c r="N238" s="93"/>
      <c r="O238" s="93"/>
      <c r="P238" s="93"/>
      <c r="Q238" s="93"/>
      <c r="R238" s="93"/>
      <c r="S238" s="93"/>
      <c r="T238" s="93"/>
      <c r="U238" s="93"/>
      <c r="V238" s="93"/>
      <c r="W238" s="93"/>
    </row>
    <row r="239" spans="1:23">
      <c r="A239" s="94" t="str">
        <f>A175</f>
        <v>Pomegranate</v>
      </c>
      <c r="B239" s="94"/>
      <c r="C239" s="247"/>
      <c r="D239" s="95">
        <f t="shared" ref="D239:J243" si="61">C107*$C239*D$124</f>
        <v>0</v>
      </c>
      <c r="E239" s="95">
        <f t="shared" si="61"/>
        <v>0</v>
      </c>
      <c r="F239" s="95">
        <f t="shared" si="61"/>
        <v>0</v>
      </c>
      <c r="G239" s="95">
        <f t="shared" si="61"/>
        <v>0</v>
      </c>
      <c r="H239" s="95">
        <f t="shared" si="61"/>
        <v>0</v>
      </c>
      <c r="I239" s="95">
        <f t="shared" si="61"/>
        <v>0</v>
      </c>
      <c r="J239" s="95">
        <f t="shared" si="61"/>
        <v>0</v>
      </c>
      <c r="K239" s="93"/>
      <c r="L239" s="93"/>
      <c r="M239" s="93"/>
      <c r="N239" s="93"/>
      <c r="O239" s="93"/>
      <c r="P239" s="93"/>
      <c r="Q239" s="93"/>
      <c r="R239" s="93"/>
      <c r="S239" s="93"/>
      <c r="T239" s="93"/>
      <c r="U239" s="93"/>
      <c r="V239" s="93"/>
      <c r="W239" s="93"/>
    </row>
    <row r="240" spans="1:23">
      <c r="A240" s="94" t="str">
        <f>A176</f>
        <v>Custard Apple</v>
      </c>
      <c r="B240" s="94"/>
      <c r="C240" s="247"/>
      <c r="D240" s="95">
        <f t="shared" si="61"/>
        <v>0</v>
      </c>
      <c r="E240" s="95">
        <f t="shared" si="61"/>
        <v>0</v>
      </c>
      <c r="F240" s="95">
        <f t="shared" si="61"/>
        <v>0</v>
      </c>
      <c r="G240" s="95">
        <f t="shared" si="61"/>
        <v>0</v>
      </c>
      <c r="H240" s="95">
        <f t="shared" si="61"/>
        <v>0</v>
      </c>
      <c r="I240" s="95">
        <f t="shared" si="61"/>
        <v>0</v>
      </c>
      <c r="J240" s="95">
        <f t="shared" si="61"/>
        <v>0</v>
      </c>
      <c r="K240" s="93"/>
      <c r="L240" s="93"/>
      <c r="M240" s="93"/>
      <c r="N240" s="93"/>
      <c r="O240" s="93"/>
      <c r="P240" s="93"/>
      <c r="Q240" s="93"/>
      <c r="R240" s="93"/>
      <c r="S240" s="93"/>
      <c r="T240" s="93"/>
      <c r="U240" s="93"/>
      <c r="V240" s="93"/>
      <c r="W240" s="93"/>
    </row>
    <row r="241" spans="1:23">
      <c r="A241" s="94" t="str">
        <f>A177</f>
        <v>Guava</v>
      </c>
      <c r="B241" s="94"/>
      <c r="C241" s="247"/>
      <c r="D241" s="95">
        <f t="shared" si="61"/>
        <v>0</v>
      </c>
      <c r="E241" s="95">
        <f t="shared" si="61"/>
        <v>0</v>
      </c>
      <c r="F241" s="95">
        <f t="shared" si="61"/>
        <v>0</v>
      </c>
      <c r="G241" s="95">
        <f t="shared" si="61"/>
        <v>0</v>
      </c>
      <c r="H241" s="95">
        <f t="shared" si="61"/>
        <v>0</v>
      </c>
      <c r="I241" s="95">
        <f t="shared" si="61"/>
        <v>0</v>
      </c>
      <c r="J241" s="95">
        <f t="shared" si="61"/>
        <v>0</v>
      </c>
      <c r="K241" s="93"/>
      <c r="L241" s="93"/>
      <c r="M241" s="93"/>
      <c r="N241" s="93"/>
      <c r="O241" s="93"/>
      <c r="P241" s="93"/>
      <c r="Q241" s="93"/>
      <c r="R241" s="93"/>
      <c r="S241" s="93"/>
      <c r="T241" s="93"/>
      <c r="U241" s="93"/>
      <c r="V241" s="93"/>
      <c r="W241" s="93"/>
    </row>
    <row r="242" spans="1:23">
      <c r="A242" s="94" t="str">
        <f>A178</f>
        <v>Citrus</v>
      </c>
      <c r="B242" s="94"/>
      <c r="C242" s="247"/>
      <c r="D242" s="95">
        <f t="shared" si="61"/>
        <v>0</v>
      </c>
      <c r="E242" s="95">
        <f t="shared" si="61"/>
        <v>0</v>
      </c>
      <c r="F242" s="95">
        <f t="shared" si="61"/>
        <v>0</v>
      </c>
      <c r="G242" s="95">
        <f t="shared" si="61"/>
        <v>0</v>
      </c>
      <c r="H242" s="95">
        <f t="shared" si="61"/>
        <v>0</v>
      </c>
      <c r="I242" s="95">
        <f t="shared" si="61"/>
        <v>0</v>
      </c>
      <c r="J242" s="95">
        <f t="shared" si="61"/>
        <v>0</v>
      </c>
      <c r="K242" s="93"/>
      <c r="L242" s="93"/>
      <c r="M242" s="93"/>
      <c r="N242" s="93"/>
      <c r="O242" s="93"/>
      <c r="P242" s="93"/>
      <c r="Q242" s="93"/>
      <c r="R242" s="93"/>
      <c r="S242" s="93"/>
      <c r="T242" s="93"/>
      <c r="U242" s="93"/>
      <c r="V242" s="93"/>
      <c r="W242" s="93"/>
    </row>
    <row r="243" spans="1:23">
      <c r="A243" s="94">
        <f>A179</f>
        <v>0</v>
      </c>
      <c r="B243" s="94"/>
      <c r="C243" s="247"/>
      <c r="D243" s="95">
        <f t="shared" si="61"/>
        <v>0</v>
      </c>
      <c r="E243" s="95">
        <f t="shared" si="61"/>
        <v>0</v>
      </c>
      <c r="F243" s="95">
        <f t="shared" si="61"/>
        <v>0</v>
      </c>
      <c r="G243" s="95">
        <f t="shared" si="61"/>
        <v>0</v>
      </c>
      <c r="H243" s="95">
        <f t="shared" si="61"/>
        <v>0</v>
      </c>
      <c r="I243" s="95">
        <f t="shared" si="61"/>
        <v>0</v>
      </c>
      <c r="J243" s="95">
        <f t="shared" si="61"/>
        <v>0</v>
      </c>
      <c r="K243" s="93"/>
      <c r="L243" s="93"/>
      <c r="M243" s="93"/>
      <c r="N243" s="93"/>
      <c r="O243" s="93"/>
      <c r="P243" s="93"/>
      <c r="Q243" s="93"/>
      <c r="R243" s="93"/>
      <c r="S243" s="93"/>
      <c r="T243" s="93"/>
      <c r="U243" s="93"/>
      <c r="V243" s="93"/>
      <c r="W243" s="93"/>
    </row>
    <row r="244" spans="1:23">
      <c r="A244" s="94" t="str">
        <f>A181</f>
        <v>Fertilizer(Rate/KG)</v>
      </c>
      <c r="B244" s="94"/>
      <c r="C244" s="95"/>
      <c r="D244" s="95"/>
      <c r="E244" s="95"/>
      <c r="F244" s="95"/>
      <c r="G244" s="95"/>
      <c r="H244" s="95"/>
      <c r="I244" s="95"/>
      <c r="J244" s="95"/>
      <c r="K244" s="93"/>
      <c r="L244" s="93"/>
      <c r="M244" s="93"/>
      <c r="N244" s="93"/>
      <c r="O244" s="93"/>
      <c r="P244" s="93"/>
      <c r="Q244" s="93"/>
      <c r="R244" s="93"/>
      <c r="S244" s="93"/>
      <c r="T244" s="93"/>
      <c r="U244" s="93"/>
      <c r="V244" s="93"/>
      <c r="W244" s="93"/>
    </row>
    <row r="245" spans="1:23">
      <c r="A245" s="94" t="str">
        <f>A182</f>
        <v>SSP</v>
      </c>
      <c r="B245" s="94"/>
      <c r="C245" s="247">
        <v>6</v>
      </c>
      <c r="D245" s="95">
        <f t="shared" ref="D245:J245" si="62">C114*$C$245*D124</f>
        <v>0</v>
      </c>
      <c r="E245" s="95">
        <f t="shared" si="62"/>
        <v>0</v>
      </c>
      <c r="F245" s="95">
        <f t="shared" si="62"/>
        <v>0</v>
      </c>
      <c r="G245" s="95">
        <f t="shared" si="62"/>
        <v>0</v>
      </c>
      <c r="H245" s="95">
        <f t="shared" si="62"/>
        <v>0</v>
      </c>
      <c r="I245" s="95">
        <f t="shared" si="62"/>
        <v>0</v>
      </c>
      <c r="J245" s="95">
        <f t="shared" si="62"/>
        <v>0</v>
      </c>
      <c r="K245" s="93"/>
      <c r="L245" s="93"/>
      <c r="M245" s="93"/>
      <c r="N245" s="93"/>
      <c r="O245" s="93"/>
      <c r="P245" s="93"/>
      <c r="Q245" s="93"/>
      <c r="R245" s="93"/>
      <c r="S245" s="93"/>
      <c r="T245" s="93"/>
      <c r="U245" s="93"/>
      <c r="V245" s="93"/>
      <c r="W245" s="93"/>
    </row>
    <row r="246" spans="1:23">
      <c r="A246" s="94" t="str">
        <f>A183</f>
        <v>Urea</v>
      </c>
      <c r="B246" s="94"/>
      <c r="C246" s="247">
        <v>5</v>
      </c>
      <c r="D246" s="95">
        <f t="shared" ref="D246:J246" si="63">C115*$C$246*D124</f>
        <v>0</v>
      </c>
      <c r="E246" s="95">
        <f t="shared" si="63"/>
        <v>0</v>
      </c>
      <c r="F246" s="95">
        <f t="shared" si="63"/>
        <v>0</v>
      </c>
      <c r="G246" s="95">
        <f t="shared" si="63"/>
        <v>0</v>
      </c>
      <c r="H246" s="95">
        <f t="shared" si="63"/>
        <v>0</v>
      </c>
      <c r="I246" s="95">
        <f t="shared" si="63"/>
        <v>0</v>
      </c>
      <c r="J246" s="95">
        <f t="shared" si="63"/>
        <v>0</v>
      </c>
      <c r="K246" s="93"/>
      <c r="L246" s="93"/>
      <c r="M246" s="93"/>
      <c r="N246" s="93"/>
      <c r="O246" s="93"/>
      <c r="P246" s="93"/>
      <c r="Q246" s="93"/>
      <c r="R246" s="93"/>
      <c r="S246" s="93"/>
      <c r="T246" s="93"/>
      <c r="U246" s="93"/>
      <c r="V246" s="93"/>
      <c r="W246" s="93"/>
    </row>
    <row r="247" spans="1:23">
      <c r="A247" s="94" t="str">
        <f>A184</f>
        <v>DAP</v>
      </c>
      <c r="B247" s="94"/>
      <c r="C247" s="247">
        <v>27</v>
      </c>
      <c r="D247" s="95">
        <f t="shared" ref="D247:J247" si="64">C116*$C$247*D124</f>
        <v>0</v>
      </c>
      <c r="E247" s="95">
        <f t="shared" si="64"/>
        <v>0</v>
      </c>
      <c r="F247" s="95">
        <f t="shared" si="64"/>
        <v>0</v>
      </c>
      <c r="G247" s="95">
        <f t="shared" si="64"/>
        <v>0</v>
      </c>
      <c r="H247" s="95">
        <f t="shared" si="64"/>
        <v>0</v>
      </c>
      <c r="I247" s="95">
        <f t="shared" si="64"/>
        <v>0</v>
      </c>
      <c r="J247" s="95">
        <f t="shared" si="64"/>
        <v>0</v>
      </c>
      <c r="K247" s="93"/>
      <c r="L247" s="93"/>
      <c r="M247" s="93"/>
      <c r="N247" s="93"/>
      <c r="O247" s="93"/>
      <c r="P247" s="93"/>
      <c r="Q247" s="93"/>
      <c r="R247" s="93"/>
      <c r="S247" s="93"/>
      <c r="T247" s="93"/>
      <c r="U247" s="93"/>
      <c r="V247" s="93"/>
      <c r="W247" s="93"/>
    </row>
    <row r="248" spans="1:23">
      <c r="A248" s="94"/>
      <c r="B248" s="94"/>
      <c r="C248" s="95"/>
      <c r="D248" s="95"/>
      <c r="E248" s="95"/>
      <c r="F248" s="95"/>
      <c r="G248" s="95"/>
      <c r="H248" s="95"/>
      <c r="I248" s="95"/>
      <c r="J248" s="95"/>
      <c r="K248" s="93"/>
      <c r="L248" s="93"/>
      <c r="M248" s="93"/>
      <c r="N248" s="93"/>
      <c r="O248" s="93"/>
      <c r="P248" s="93"/>
      <c r="Q248" s="93"/>
      <c r="R248" s="93"/>
      <c r="S248" s="93"/>
      <c r="T248" s="93"/>
      <c r="U248" s="93"/>
      <c r="V248" s="93"/>
      <c r="W248" s="93"/>
    </row>
    <row r="249" spans="1:23">
      <c r="A249" s="94" t="str">
        <f>A186</f>
        <v>Pesticide</v>
      </c>
      <c r="B249" s="94"/>
      <c r="C249" s="95"/>
      <c r="D249" s="95"/>
      <c r="E249" s="95"/>
      <c r="F249" s="95"/>
      <c r="G249" s="95"/>
      <c r="H249" s="95"/>
      <c r="I249" s="95"/>
      <c r="J249" s="95"/>
      <c r="K249" s="93"/>
      <c r="L249" s="93"/>
      <c r="M249" s="93"/>
      <c r="N249" s="93"/>
      <c r="O249" s="93"/>
      <c r="P249" s="93"/>
      <c r="Q249" s="93"/>
      <c r="R249" s="93"/>
      <c r="S249" s="93"/>
      <c r="T249" s="93"/>
      <c r="U249" s="93"/>
      <c r="V249" s="93"/>
      <c r="W249" s="93"/>
    </row>
    <row r="250" spans="1:23">
      <c r="A250" s="94" t="str">
        <f>A187</f>
        <v>Dupont Coragen</v>
      </c>
      <c r="B250" s="94"/>
      <c r="C250" s="247">
        <v>2800</v>
      </c>
      <c r="D250" s="95">
        <f t="shared" ref="D250:J250" si="65">C118*$C$250*D124</f>
        <v>0</v>
      </c>
      <c r="E250" s="95">
        <f t="shared" si="65"/>
        <v>0</v>
      </c>
      <c r="F250" s="95">
        <f t="shared" si="65"/>
        <v>0</v>
      </c>
      <c r="G250" s="95">
        <f t="shared" si="65"/>
        <v>0</v>
      </c>
      <c r="H250" s="95">
        <f t="shared" si="65"/>
        <v>0</v>
      </c>
      <c r="I250" s="95">
        <f t="shared" si="65"/>
        <v>0</v>
      </c>
      <c r="J250" s="95">
        <f t="shared" si="65"/>
        <v>0</v>
      </c>
      <c r="K250" s="93"/>
      <c r="L250" s="93"/>
      <c r="M250" s="93"/>
      <c r="N250" s="93"/>
      <c r="O250" s="93"/>
      <c r="P250" s="93"/>
      <c r="Q250" s="93"/>
      <c r="R250" s="93"/>
      <c r="S250" s="93"/>
      <c r="T250" s="93"/>
      <c r="U250" s="93"/>
      <c r="V250" s="93"/>
      <c r="W250" s="93"/>
    </row>
    <row r="251" spans="1:23">
      <c r="A251" s="94" t="str">
        <f>A188</f>
        <v>Confidor Boyer</v>
      </c>
      <c r="B251" s="94"/>
      <c r="C251" s="247">
        <v>2000</v>
      </c>
      <c r="D251" s="95">
        <f t="shared" ref="D251:J251" si="66">C119*$C$251*D124</f>
        <v>0</v>
      </c>
      <c r="E251" s="95">
        <f t="shared" si="66"/>
        <v>0</v>
      </c>
      <c r="F251" s="95">
        <f t="shared" si="66"/>
        <v>0</v>
      </c>
      <c r="G251" s="95">
        <f t="shared" si="66"/>
        <v>0</v>
      </c>
      <c r="H251" s="95">
        <f t="shared" si="66"/>
        <v>0</v>
      </c>
      <c r="I251" s="95">
        <f t="shared" si="66"/>
        <v>0</v>
      </c>
      <c r="J251" s="95">
        <f t="shared" si="66"/>
        <v>0</v>
      </c>
      <c r="K251" s="93"/>
      <c r="L251" s="93"/>
      <c r="M251" s="93"/>
      <c r="N251" s="93"/>
      <c r="O251" s="93"/>
      <c r="P251" s="93"/>
      <c r="Q251" s="93"/>
      <c r="R251" s="93"/>
      <c r="S251" s="93"/>
      <c r="T251" s="93"/>
      <c r="U251" s="93"/>
      <c r="V251" s="93"/>
      <c r="W251" s="93"/>
    </row>
    <row r="252" spans="1:23">
      <c r="A252" s="94"/>
      <c r="B252" s="94"/>
      <c r="C252" s="95"/>
      <c r="D252" s="95"/>
      <c r="E252" s="95"/>
      <c r="F252" s="95"/>
      <c r="G252" s="95"/>
      <c r="H252" s="95"/>
      <c r="I252" s="95"/>
      <c r="J252" s="95"/>
      <c r="K252" s="93"/>
      <c r="L252" s="93"/>
      <c r="M252" s="93"/>
      <c r="N252" s="93"/>
      <c r="O252" s="93"/>
      <c r="P252" s="93"/>
      <c r="Q252" s="93"/>
      <c r="R252" s="93"/>
      <c r="S252" s="93"/>
      <c r="T252" s="93"/>
      <c r="U252" s="93"/>
      <c r="V252" s="93"/>
      <c r="W252" s="93"/>
    </row>
    <row r="253" spans="1:23">
      <c r="A253" s="94" t="s">
        <v>291</v>
      </c>
      <c r="B253" s="94"/>
      <c r="C253" s="247">
        <v>10</v>
      </c>
      <c r="D253" s="95">
        <f t="shared" ref="D253:J253" si="67">(SUM(C63:C119)/50)*$C$253*D124</f>
        <v>0</v>
      </c>
      <c r="E253" s="95">
        <f t="shared" si="67"/>
        <v>0</v>
      </c>
      <c r="F253" s="95">
        <f t="shared" si="67"/>
        <v>0</v>
      </c>
      <c r="G253" s="95">
        <f t="shared" si="67"/>
        <v>0</v>
      </c>
      <c r="H253" s="95">
        <f t="shared" si="67"/>
        <v>0</v>
      </c>
      <c r="I253" s="95">
        <f t="shared" si="67"/>
        <v>0</v>
      </c>
      <c r="J253" s="95">
        <f t="shared" si="67"/>
        <v>0</v>
      </c>
      <c r="K253" s="93"/>
      <c r="L253" s="93"/>
      <c r="M253" s="93"/>
      <c r="N253" s="93"/>
      <c r="O253" s="93"/>
      <c r="P253" s="93"/>
      <c r="Q253" s="93"/>
      <c r="R253" s="93"/>
      <c r="S253" s="93"/>
      <c r="T253" s="93"/>
      <c r="U253" s="93"/>
      <c r="V253" s="93"/>
      <c r="W253" s="93"/>
    </row>
    <row r="254" spans="1:23">
      <c r="A254" s="94" t="s">
        <v>170</v>
      </c>
      <c r="B254" s="94"/>
      <c r="C254" s="247">
        <v>100</v>
      </c>
      <c r="D254" s="95">
        <f t="shared" ref="D254:J254" si="68">(SUM(C63:C119)/50)*$C$254*D124</f>
        <v>0</v>
      </c>
      <c r="E254" s="95">
        <f t="shared" si="68"/>
        <v>0</v>
      </c>
      <c r="F254" s="95">
        <f t="shared" si="68"/>
        <v>0</v>
      </c>
      <c r="G254" s="95">
        <f t="shared" si="68"/>
        <v>0</v>
      </c>
      <c r="H254" s="95">
        <f t="shared" si="68"/>
        <v>0</v>
      </c>
      <c r="I254" s="95">
        <f t="shared" si="68"/>
        <v>0</v>
      </c>
      <c r="J254" s="95">
        <f t="shared" si="68"/>
        <v>0</v>
      </c>
      <c r="K254" s="93"/>
      <c r="L254" s="93"/>
      <c r="M254" s="93"/>
      <c r="N254" s="93"/>
      <c r="O254" s="93"/>
      <c r="P254" s="93"/>
      <c r="Q254" s="93"/>
      <c r="R254" s="93"/>
      <c r="S254" s="93"/>
      <c r="T254" s="93"/>
      <c r="U254" s="93"/>
      <c r="V254" s="93"/>
      <c r="W254" s="93"/>
    </row>
    <row r="255" spans="1:23">
      <c r="A255" s="94"/>
      <c r="B255" s="94"/>
      <c r="C255" s="247"/>
      <c r="D255" s="207"/>
      <c r="E255" s="95"/>
      <c r="F255" s="95"/>
      <c r="G255" s="95"/>
      <c r="H255" s="95"/>
      <c r="I255" s="95"/>
      <c r="J255" s="95"/>
      <c r="K255" s="93"/>
      <c r="L255" s="93"/>
      <c r="M255" s="93"/>
      <c r="N255" s="93"/>
      <c r="O255" s="93"/>
      <c r="P255" s="93"/>
      <c r="Q255" s="93"/>
      <c r="R255" s="93"/>
      <c r="S255" s="93"/>
      <c r="T255" s="93"/>
      <c r="U255" s="93"/>
      <c r="V255" s="93"/>
      <c r="W255" s="93"/>
    </row>
    <row r="256" spans="1:23">
      <c r="A256" s="94"/>
      <c r="B256" s="94"/>
      <c r="C256" s="247"/>
      <c r="D256" s="207"/>
      <c r="E256" s="95"/>
      <c r="F256" s="95"/>
      <c r="G256" s="95"/>
      <c r="H256" s="95"/>
      <c r="I256" s="95"/>
      <c r="J256" s="95"/>
      <c r="K256" s="93"/>
      <c r="L256" s="93"/>
      <c r="M256" s="93"/>
      <c r="N256" s="93"/>
      <c r="O256" s="93"/>
      <c r="P256" s="93"/>
      <c r="Q256" s="93"/>
      <c r="R256" s="93"/>
      <c r="S256" s="93"/>
      <c r="T256" s="93"/>
      <c r="U256" s="93"/>
      <c r="V256" s="93"/>
      <c r="W256" s="93"/>
    </row>
    <row r="257" spans="1:23">
      <c r="A257" s="94"/>
      <c r="B257" s="94"/>
      <c r="C257" s="247"/>
      <c r="D257" s="207"/>
      <c r="E257" s="95"/>
      <c r="F257" s="95"/>
      <c r="G257" s="95"/>
      <c r="H257" s="95"/>
      <c r="I257" s="95"/>
      <c r="J257" s="95"/>
      <c r="K257" s="93"/>
      <c r="L257" s="93"/>
      <c r="M257" s="93"/>
      <c r="N257" s="93"/>
      <c r="O257" s="93"/>
      <c r="P257" s="93"/>
      <c r="Q257" s="93"/>
      <c r="R257" s="93"/>
      <c r="S257" s="93"/>
      <c r="T257" s="93"/>
      <c r="U257" s="93"/>
      <c r="V257" s="93"/>
      <c r="W257" s="93"/>
    </row>
    <row r="258" spans="1:23">
      <c r="A258" s="94"/>
      <c r="B258" s="94"/>
      <c r="C258" s="247"/>
      <c r="D258" s="207"/>
      <c r="E258" s="95"/>
      <c r="F258" s="95"/>
      <c r="G258" s="95"/>
      <c r="H258" s="95"/>
      <c r="I258" s="95"/>
      <c r="J258" s="95"/>
      <c r="K258" s="93"/>
      <c r="L258" s="93"/>
      <c r="M258" s="93"/>
      <c r="N258" s="93"/>
      <c r="O258" s="93"/>
      <c r="P258" s="93"/>
      <c r="Q258" s="93"/>
      <c r="R258" s="93"/>
      <c r="S258" s="93"/>
      <c r="T258" s="93"/>
      <c r="U258" s="93"/>
      <c r="V258" s="93"/>
      <c r="W258" s="93"/>
    </row>
    <row r="259" spans="1:23">
      <c r="A259" s="94" t="s">
        <v>341</v>
      </c>
      <c r="B259" s="94"/>
      <c r="C259" s="95"/>
      <c r="D259" s="207"/>
      <c r="E259" s="95">
        <f>'5.Closing Stock &amp; W Capital'!F5</f>
        <v>0</v>
      </c>
      <c r="F259" s="95">
        <f>'5.Closing Stock &amp; W Capital'!G5</f>
        <v>0</v>
      </c>
      <c r="G259" s="95">
        <f>'5.Closing Stock &amp; W Capital'!H5</f>
        <v>0</v>
      </c>
      <c r="H259" s="95">
        <f>'5.Closing Stock &amp; W Capital'!I5</f>
        <v>0</v>
      </c>
      <c r="I259" s="95">
        <f>'5.Closing Stock &amp; W Capital'!J5</f>
        <v>0</v>
      </c>
      <c r="J259" s="95">
        <f>'5.Closing Stock &amp; W Capital'!K5</f>
        <v>0</v>
      </c>
      <c r="K259" s="93"/>
      <c r="L259" s="93"/>
      <c r="M259" s="93"/>
      <c r="N259" s="93"/>
      <c r="O259" s="93"/>
      <c r="P259" s="93"/>
      <c r="Q259" s="93"/>
      <c r="R259" s="93"/>
      <c r="S259" s="93"/>
      <c r="T259" s="93"/>
      <c r="U259" s="93"/>
      <c r="V259" s="93"/>
      <c r="W259" s="93"/>
    </row>
    <row r="260" spans="1:23">
      <c r="A260" s="98" t="s">
        <v>342</v>
      </c>
      <c r="B260" s="94"/>
      <c r="C260" s="94"/>
      <c r="D260" s="207">
        <f>'5.Closing Stock &amp; W Capital'!E14</f>
        <v>0</v>
      </c>
      <c r="E260" s="95">
        <f>'5.Closing Stock &amp; W Capital'!F14</f>
        <v>0</v>
      </c>
      <c r="F260" s="95">
        <f>'5.Closing Stock &amp; W Capital'!G14</f>
        <v>0</v>
      </c>
      <c r="G260" s="95">
        <f>'5.Closing Stock &amp; W Capital'!H14</f>
        <v>0</v>
      </c>
      <c r="H260" s="95">
        <f>'5.Closing Stock &amp; W Capital'!I14</f>
        <v>0</v>
      </c>
      <c r="I260" s="95">
        <f>'5.Closing Stock &amp; W Capital'!J14</f>
        <v>0</v>
      </c>
      <c r="J260" s="95">
        <f>'5.Closing Stock &amp; W Capital'!K14</f>
        <v>0</v>
      </c>
      <c r="K260" s="93"/>
      <c r="L260" s="93"/>
      <c r="M260" s="93"/>
      <c r="N260" s="93"/>
      <c r="O260" s="93"/>
      <c r="P260" s="93"/>
      <c r="Q260" s="93"/>
      <c r="R260" s="93"/>
      <c r="S260" s="93"/>
      <c r="T260" s="93"/>
      <c r="U260" s="93"/>
      <c r="V260" s="93"/>
      <c r="W260" s="93"/>
    </row>
    <row r="261" spans="1:23">
      <c r="A261" s="94"/>
      <c r="B261" s="94"/>
      <c r="C261" s="94"/>
      <c r="D261" s="93"/>
      <c r="E261" s="93"/>
      <c r="F261" s="93"/>
      <c r="G261" s="93"/>
      <c r="H261" s="93"/>
      <c r="I261" s="93"/>
      <c r="J261" s="93"/>
      <c r="K261" s="93"/>
      <c r="L261" s="93"/>
      <c r="M261" s="93"/>
      <c r="N261" s="93"/>
      <c r="O261" s="93"/>
      <c r="P261" s="93"/>
      <c r="Q261" s="93"/>
      <c r="R261" s="93"/>
      <c r="S261" s="93"/>
      <c r="T261" s="93"/>
      <c r="U261" s="93"/>
      <c r="V261" s="93"/>
      <c r="W261" s="93"/>
    </row>
    <row r="262" spans="1:23">
      <c r="A262" s="96" t="s">
        <v>319</v>
      </c>
      <c r="B262" s="96"/>
      <c r="C262" s="114"/>
      <c r="D262" s="114">
        <f>SUM(D197:D258)+D259-D260</f>
        <v>0</v>
      </c>
      <c r="E262" s="114">
        <f t="shared" ref="E262:J262" si="69">SUM(E197:E258)+E259-E260</f>
        <v>0</v>
      </c>
      <c r="F262" s="114">
        <f t="shared" si="69"/>
        <v>0</v>
      </c>
      <c r="G262" s="114">
        <f t="shared" si="69"/>
        <v>0</v>
      </c>
      <c r="H262" s="114">
        <f t="shared" si="69"/>
        <v>0</v>
      </c>
      <c r="I262" s="114">
        <f t="shared" si="69"/>
        <v>0</v>
      </c>
      <c r="J262" s="114">
        <f t="shared" si="69"/>
        <v>0</v>
      </c>
      <c r="K262" s="93"/>
      <c r="L262" s="93"/>
      <c r="M262" s="93"/>
      <c r="N262" s="93"/>
      <c r="O262" s="93"/>
      <c r="P262" s="93"/>
      <c r="Q262" s="93"/>
      <c r="R262" s="93"/>
      <c r="S262" s="93"/>
      <c r="T262" s="93"/>
      <c r="U262" s="93"/>
      <c r="V262" s="93"/>
      <c r="W262" s="93"/>
    </row>
    <row r="263" spans="1:23">
      <c r="A263" s="94"/>
      <c r="B263" s="94"/>
      <c r="C263" s="95"/>
      <c r="D263" s="95"/>
      <c r="E263" s="95"/>
      <c r="F263" s="95"/>
      <c r="G263" s="95"/>
      <c r="H263" s="95"/>
      <c r="I263" s="95"/>
      <c r="J263" s="95"/>
      <c r="K263" s="93"/>
      <c r="L263" s="93"/>
      <c r="M263" s="93"/>
      <c r="N263" s="93"/>
      <c r="O263" s="93"/>
      <c r="P263" s="93"/>
      <c r="Q263" s="93"/>
      <c r="R263" s="93"/>
      <c r="S263" s="93"/>
      <c r="T263" s="93"/>
      <c r="U263" s="93"/>
      <c r="V263" s="93"/>
      <c r="W263" s="93"/>
    </row>
    <row r="264" spans="1:23">
      <c r="A264" s="96" t="s">
        <v>310</v>
      </c>
      <c r="B264" s="96"/>
      <c r="C264" s="95"/>
      <c r="D264" s="95"/>
      <c r="E264" s="95"/>
      <c r="F264" s="95"/>
      <c r="G264" s="95"/>
      <c r="H264" s="95"/>
      <c r="I264" s="95"/>
      <c r="J264" s="95"/>
      <c r="K264" s="93"/>
      <c r="L264" s="93"/>
      <c r="M264" s="93"/>
      <c r="N264" s="93"/>
      <c r="O264" s="93"/>
      <c r="P264" s="93"/>
      <c r="Q264" s="93"/>
      <c r="R264" s="93"/>
      <c r="S264" s="93"/>
      <c r="T264" s="93"/>
      <c r="U264" s="93"/>
      <c r="V264" s="93"/>
      <c r="W264" s="93"/>
    </row>
    <row r="265" spans="1:23">
      <c r="A265" s="94" t="s">
        <v>324</v>
      </c>
      <c r="B265" s="94">
        <v>12</v>
      </c>
      <c r="C265" s="247"/>
      <c r="D265" s="95">
        <f t="shared" ref="D265:J265" si="70">$B$265*$C$265*D124</f>
        <v>0</v>
      </c>
      <c r="E265" s="95">
        <f t="shared" si="70"/>
        <v>0</v>
      </c>
      <c r="F265" s="95">
        <f t="shared" si="70"/>
        <v>0</v>
      </c>
      <c r="G265" s="95">
        <f t="shared" si="70"/>
        <v>0</v>
      </c>
      <c r="H265" s="95">
        <f t="shared" si="70"/>
        <v>0</v>
      </c>
      <c r="I265" s="95">
        <f t="shared" si="70"/>
        <v>0</v>
      </c>
      <c r="J265" s="95">
        <f t="shared" si="70"/>
        <v>0</v>
      </c>
      <c r="K265" s="93"/>
      <c r="L265" s="93"/>
      <c r="M265" s="93"/>
      <c r="N265" s="93"/>
      <c r="O265" s="93"/>
      <c r="P265" s="93"/>
      <c r="Q265" s="93"/>
      <c r="R265" s="93"/>
      <c r="S265" s="93"/>
      <c r="T265" s="93"/>
      <c r="U265" s="93"/>
      <c r="V265" s="93"/>
      <c r="W265" s="93"/>
    </row>
    <row r="266" spans="1:23">
      <c r="A266" s="94" t="s">
        <v>325</v>
      </c>
      <c r="B266" s="229">
        <v>1</v>
      </c>
      <c r="C266" s="247"/>
      <c r="D266" s="95">
        <f t="shared" ref="D266:J266" si="71">$B$266*$C$266*12*D124</f>
        <v>0</v>
      </c>
      <c r="E266" s="95">
        <f t="shared" si="71"/>
        <v>0</v>
      </c>
      <c r="F266" s="95">
        <f t="shared" si="71"/>
        <v>0</v>
      </c>
      <c r="G266" s="95">
        <f t="shared" si="71"/>
        <v>0</v>
      </c>
      <c r="H266" s="95">
        <f t="shared" si="71"/>
        <v>0</v>
      </c>
      <c r="I266" s="95">
        <f t="shared" si="71"/>
        <v>0</v>
      </c>
      <c r="J266" s="95">
        <f t="shared" si="71"/>
        <v>0</v>
      </c>
      <c r="K266" s="93"/>
      <c r="L266" s="93"/>
      <c r="M266" s="93"/>
      <c r="N266" s="93"/>
      <c r="O266" s="93"/>
      <c r="P266" s="93"/>
      <c r="Q266" s="93"/>
      <c r="R266" s="93"/>
      <c r="S266" s="93"/>
      <c r="T266" s="93"/>
      <c r="U266" s="93"/>
      <c r="V266" s="93"/>
      <c r="W266" s="93"/>
    </row>
    <row r="267" spans="1:23">
      <c r="A267" s="94" t="s">
        <v>191</v>
      </c>
      <c r="B267" s="229">
        <v>1</v>
      </c>
      <c r="C267" s="247"/>
      <c r="D267" s="95">
        <f t="shared" ref="D267:J267" si="72">$B$267*$C$267*12*D124</f>
        <v>0</v>
      </c>
      <c r="E267" s="95">
        <f t="shared" si="72"/>
        <v>0</v>
      </c>
      <c r="F267" s="95">
        <f t="shared" si="72"/>
        <v>0</v>
      </c>
      <c r="G267" s="95">
        <f t="shared" si="72"/>
        <v>0</v>
      </c>
      <c r="H267" s="95">
        <f t="shared" si="72"/>
        <v>0</v>
      </c>
      <c r="I267" s="95">
        <f t="shared" si="72"/>
        <v>0</v>
      </c>
      <c r="J267" s="95">
        <f t="shared" si="72"/>
        <v>0</v>
      </c>
      <c r="K267" s="93"/>
      <c r="L267" s="93"/>
      <c r="M267" s="93"/>
      <c r="N267" s="93"/>
      <c r="O267" s="93"/>
      <c r="P267" s="93"/>
      <c r="Q267" s="93"/>
      <c r="R267" s="93"/>
      <c r="S267" s="93"/>
      <c r="T267" s="93"/>
      <c r="U267" s="93"/>
      <c r="V267" s="93"/>
      <c r="W267" s="93"/>
    </row>
    <row r="268" spans="1:23">
      <c r="A268" s="94" t="s">
        <v>326</v>
      </c>
      <c r="B268" s="94">
        <v>12</v>
      </c>
      <c r="C268" s="247"/>
      <c r="D268" s="95">
        <f t="shared" ref="D268:J268" si="73">$B$268*$C$268*D124</f>
        <v>0</v>
      </c>
      <c r="E268" s="95">
        <f t="shared" si="73"/>
        <v>0</v>
      </c>
      <c r="F268" s="95">
        <f t="shared" si="73"/>
        <v>0</v>
      </c>
      <c r="G268" s="95">
        <f t="shared" si="73"/>
        <v>0</v>
      </c>
      <c r="H268" s="95">
        <f t="shared" si="73"/>
        <v>0</v>
      </c>
      <c r="I268" s="95">
        <f t="shared" si="73"/>
        <v>0</v>
      </c>
      <c r="J268" s="95">
        <f t="shared" si="73"/>
        <v>0</v>
      </c>
      <c r="K268" s="93"/>
      <c r="L268" s="93"/>
      <c r="M268" s="93"/>
      <c r="N268" s="93"/>
      <c r="O268" s="93"/>
      <c r="P268" s="93"/>
      <c r="Q268" s="93"/>
      <c r="R268" s="93"/>
      <c r="S268" s="93"/>
      <c r="T268" s="93"/>
      <c r="U268" s="93"/>
      <c r="V268" s="93"/>
      <c r="W268" s="93"/>
    </row>
    <row r="269" spans="1:23">
      <c r="A269" s="94"/>
      <c r="B269" s="94"/>
      <c r="C269" s="247"/>
      <c r="D269" s="95"/>
      <c r="E269" s="95"/>
      <c r="F269" s="95"/>
      <c r="G269" s="95"/>
      <c r="H269" s="95"/>
      <c r="I269" s="95"/>
      <c r="J269" s="95"/>
      <c r="K269" s="93"/>
      <c r="L269" s="93"/>
      <c r="M269" s="93"/>
      <c r="N269" s="93"/>
      <c r="O269" s="93"/>
      <c r="P269" s="93"/>
      <c r="Q269" s="93"/>
      <c r="R269" s="93"/>
      <c r="S269" s="93"/>
      <c r="T269" s="93"/>
      <c r="U269" s="93"/>
      <c r="V269" s="93"/>
      <c r="W269" s="93"/>
    </row>
    <row r="270" spans="1:23">
      <c r="A270" s="94"/>
      <c r="B270" s="94"/>
      <c r="C270" s="247"/>
      <c r="D270" s="95"/>
      <c r="E270" s="95"/>
      <c r="F270" s="95"/>
      <c r="G270" s="95"/>
      <c r="H270" s="95"/>
      <c r="I270" s="95"/>
      <c r="J270" s="95"/>
      <c r="K270" s="93"/>
      <c r="L270" s="93"/>
      <c r="M270" s="93"/>
      <c r="N270" s="93"/>
      <c r="O270" s="93"/>
      <c r="P270" s="93"/>
      <c r="Q270" s="93"/>
      <c r="R270" s="93"/>
      <c r="S270" s="93"/>
      <c r="T270" s="93"/>
      <c r="U270" s="93"/>
      <c r="V270" s="93"/>
      <c r="W270" s="93"/>
    </row>
    <row r="271" spans="1:23">
      <c r="A271" s="94"/>
      <c r="B271" s="94"/>
      <c r="C271" s="247"/>
      <c r="D271" s="95"/>
      <c r="E271" s="95"/>
      <c r="F271" s="95"/>
      <c r="G271" s="95"/>
      <c r="H271" s="95"/>
      <c r="I271" s="95"/>
      <c r="J271" s="95"/>
      <c r="K271" s="93"/>
      <c r="L271" s="93"/>
      <c r="M271" s="93"/>
      <c r="N271" s="93"/>
      <c r="O271" s="93"/>
      <c r="P271" s="93"/>
      <c r="Q271" s="93"/>
      <c r="R271" s="93"/>
      <c r="S271" s="93"/>
      <c r="T271" s="93"/>
      <c r="U271" s="93"/>
      <c r="V271" s="93"/>
      <c r="W271" s="93"/>
    </row>
    <row r="272" spans="1:23">
      <c r="A272" s="94"/>
      <c r="B272" s="94"/>
      <c r="C272" s="247"/>
      <c r="D272" s="95"/>
      <c r="E272" s="95"/>
      <c r="F272" s="95"/>
      <c r="G272" s="95"/>
      <c r="H272" s="95"/>
      <c r="I272" s="95"/>
      <c r="J272" s="95"/>
      <c r="K272" s="93"/>
      <c r="L272" s="93"/>
      <c r="M272" s="93"/>
      <c r="N272" s="93"/>
      <c r="O272" s="93"/>
      <c r="P272" s="93"/>
      <c r="Q272" s="93"/>
      <c r="R272" s="93"/>
      <c r="S272" s="93"/>
      <c r="T272" s="93"/>
      <c r="U272" s="93"/>
      <c r="V272" s="93"/>
      <c r="W272" s="93"/>
    </row>
    <row r="273" spans="1:23">
      <c r="A273" s="96" t="s">
        <v>323</v>
      </c>
      <c r="B273" s="96"/>
      <c r="C273" s="114"/>
      <c r="D273" s="114">
        <f>SUM(D265:D272)</f>
        <v>0</v>
      </c>
      <c r="E273" s="114">
        <f t="shared" ref="E273:J273" si="74">SUM(E265:E272)</f>
        <v>0</v>
      </c>
      <c r="F273" s="114">
        <f t="shared" si="74"/>
        <v>0</v>
      </c>
      <c r="G273" s="114">
        <f t="shared" si="74"/>
        <v>0</v>
      </c>
      <c r="H273" s="114">
        <f t="shared" si="74"/>
        <v>0</v>
      </c>
      <c r="I273" s="114">
        <f t="shared" si="74"/>
        <v>0</v>
      </c>
      <c r="J273" s="114">
        <f t="shared" si="74"/>
        <v>0</v>
      </c>
      <c r="K273" s="93"/>
      <c r="L273" s="93"/>
      <c r="M273" s="93"/>
      <c r="N273" s="93"/>
      <c r="O273" s="93"/>
      <c r="P273" s="93"/>
      <c r="Q273" s="93"/>
      <c r="R273" s="93"/>
      <c r="S273" s="93"/>
      <c r="T273" s="93"/>
      <c r="U273" s="93"/>
      <c r="V273" s="93"/>
      <c r="W273" s="93"/>
    </row>
    <row r="274" spans="1:23">
      <c r="A274" s="195" t="s">
        <v>135</v>
      </c>
      <c r="B274" s="195"/>
      <c r="C274" s="208"/>
      <c r="D274" s="114">
        <f t="shared" ref="D274:J274" si="75">D262+D273</f>
        <v>0</v>
      </c>
      <c r="E274" s="114">
        <f t="shared" si="75"/>
        <v>0</v>
      </c>
      <c r="F274" s="114">
        <f t="shared" si="75"/>
        <v>0</v>
      </c>
      <c r="G274" s="114">
        <f t="shared" si="75"/>
        <v>0</v>
      </c>
      <c r="H274" s="114">
        <f t="shared" si="75"/>
        <v>0</v>
      </c>
      <c r="I274" s="114">
        <f t="shared" si="75"/>
        <v>0</v>
      </c>
      <c r="J274" s="114">
        <f t="shared" si="75"/>
        <v>0</v>
      </c>
      <c r="K274" s="93"/>
      <c r="L274" s="93"/>
      <c r="M274" s="93"/>
      <c r="N274" s="93"/>
      <c r="O274" s="93"/>
      <c r="P274" s="93"/>
      <c r="Q274" s="93"/>
      <c r="R274" s="93"/>
      <c r="S274" s="93"/>
      <c r="T274" s="93"/>
      <c r="U274" s="93"/>
      <c r="V274" s="93"/>
      <c r="W274" s="93"/>
    </row>
    <row r="275" spans="1:23">
      <c r="A275" s="94"/>
      <c r="B275" s="94"/>
      <c r="C275" s="95"/>
      <c r="D275" s="95"/>
      <c r="E275" s="95"/>
      <c r="F275" s="95"/>
      <c r="G275" s="95"/>
      <c r="H275" s="95"/>
      <c r="I275" s="95"/>
      <c r="J275" s="95"/>
      <c r="K275" s="93"/>
      <c r="L275" s="93"/>
      <c r="M275" s="93"/>
      <c r="N275" s="93"/>
      <c r="O275" s="93"/>
      <c r="P275" s="93"/>
      <c r="Q275" s="93"/>
      <c r="R275" s="93"/>
      <c r="S275" s="93"/>
      <c r="T275" s="93"/>
      <c r="U275" s="93"/>
      <c r="V275" s="93"/>
      <c r="W275" s="93"/>
    </row>
    <row r="276" spans="1:23">
      <c r="A276" s="195" t="s">
        <v>7</v>
      </c>
      <c r="B276" s="195"/>
      <c r="C276" s="208"/>
      <c r="D276" s="114">
        <f t="shared" ref="D276:J276" si="76">D191-D274</f>
        <v>0</v>
      </c>
      <c r="E276" s="114">
        <f t="shared" si="76"/>
        <v>0</v>
      </c>
      <c r="F276" s="114">
        <f t="shared" si="76"/>
        <v>0</v>
      </c>
      <c r="G276" s="114">
        <f t="shared" si="76"/>
        <v>0</v>
      </c>
      <c r="H276" s="114">
        <f t="shared" si="76"/>
        <v>0</v>
      </c>
      <c r="I276" s="114">
        <f t="shared" si="76"/>
        <v>0</v>
      </c>
      <c r="J276" s="114">
        <f t="shared" si="76"/>
        <v>0</v>
      </c>
      <c r="K276" s="93"/>
      <c r="L276" s="93"/>
      <c r="M276" s="93"/>
      <c r="N276" s="93"/>
      <c r="O276" s="93"/>
      <c r="P276" s="93"/>
      <c r="Q276" s="93"/>
      <c r="R276" s="93"/>
      <c r="S276" s="93"/>
      <c r="T276" s="93"/>
      <c r="U276" s="93"/>
      <c r="V276" s="93"/>
      <c r="W276" s="93"/>
    </row>
    <row r="277" spans="1:23">
      <c r="A277" s="115"/>
      <c r="B277" s="115"/>
      <c r="C277" s="115"/>
      <c r="D277" s="93"/>
      <c r="E277" s="93"/>
      <c r="F277" s="93"/>
      <c r="G277" s="93"/>
      <c r="H277" s="93"/>
      <c r="I277" s="93"/>
      <c r="J277" s="93"/>
      <c r="K277" s="93"/>
      <c r="L277" s="93"/>
      <c r="M277" s="93"/>
      <c r="N277" s="93"/>
      <c r="O277" s="93"/>
      <c r="P277" s="93"/>
      <c r="Q277" s="93"/>
      <c r="R277" s="93"/>
      <c r="S277" s="93"/>
      <c r="T277" s="93"/>
      <c r="U277" s="93"/>
      <c r="V277" s="93"/>
      <c r="W277" s="93"/>
    </row>
    <row r="278" spans="1:23">
      <c r="A278" s="93"/>
      <c r="B278" s="93"/>
      <c r="C278" s="93"/>
      <c r="D278" s="93"/>
      <c r="E278" s="93"/>
      <c r="F278" s="93"/>
      <c r="G278" s="93"/>
      <c r="H278" s="93"/>
      <c r="I278" s="93"/>
      <c r="J278" s="93"/>
      <c r="K278" s="93"/>
      <c r="L278" s="93"/>
      <c r="M278" s="93"/>
      <c r="N278" s="93"/>
      <c r="O278" s="93"/>
      <c r="P278" s="93"/>
      <c r="Q278" s="93"/>
      <c r="R278" s="93"/>
      <c r="S278" s="93"/>
      <c r="T278" s="93"/>
      <c r="U278" s="93"/>
      <c r="V278" s="93"/>
      <c r="W278" s="93"/>
    </row>
    <row r="279" spans="1:23">
      <c r="A279" s="413" t="s">
        <v>420</v>
      </c>
      <c r="B279" s="413"/>
      <c r="C279" s="413"/>
      <c r="D279" s="413"/>
      <c r="E279" s="413"/>
      <c r="F279" s="413"/>
      <c r="G279" s="413"/>
      <c r="H279" s="413"/>
      <c r="I279" s="413"/>
      <c r="J279" s="413"/>
    </row>
    <row r="281" spans="1:23">
      <c r="A281" t="s">
        <v>536</v>
      </c>
    </row>
    <row r="282" spans="1:23">
      <c r="A282">
        <v>1</v>
      </c>
      <c r="B282" t="s">
        <v>547</v>
      </c>
    </row>
    <row r="283" spans="1:23">
      <c r="A283">
        <v>2</v>
      </c>
      <c r="B283" t="s">
        <v>548</v>
      </c>
    </row>
    <row r="284" spans="1:23">
      <c r="A284">
        <v>3</v>
      </c>
      <c r="B284" s="93" t="s">
        <v>588</v>
      </c>
    </row>
  </sheetData>
  <mergeCells count="3">
    <mergeCell ref="A122:J122"/>
    <mergeCell ref="A2:I2"/>
    <mergeCell ref="A279:J279"/>
  </mergeCells>
  <pageMargins left="0.7" right="0.7" top="0.75" bottom="0.75" header="0.3" footer="0.3"/>
  <pageSetup scale="54" orientation="portrait" r:id="rId1"/>
  <rowBreaks count="2" manualBreakCount="2">
    <brk id="84" max="9" man="1"/>
    <brk id="238"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zoomScale="80" zoomScaleSheetLayoutView="80" workbookViewId="0">
      <selection activeCell="B5" sqref="B5"/>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12" t="s">
        <v>583</v>
      </c>
      <c r="B3" s="412"/>
      <c r="C3" s="412"/>
      <c r="D3" s="412"/>
      <c r="E3" s="412"/>
      <c r="F3" s="412"/>
      <c r="G3" s="412"/>
      <c r="H3" s="412"/>
    </row>
    <row r="4" spans="1:8" ht="18.75">
      <c r="A4" s="412" t="s">
        <v>584</v>
      </c>
      <c r="B4" s="412"/>
      <c r="C4" s="412"/>
      <c r="D4" s="412"/>
      <c r="E4" s="412"/>
      <c r="F4" s="412"/>
      <c r="G4" s="412"/>
      <c r="H4" s="412"/>
    </row>
    <row r="5" spans="1:8">
      <c r="A5" s="93" t="s">
        <v>159</v>
      </c>
      <c r="B5" s="240">
        <v>1</v>
      </c>
      <c r="C5" s="93" t="s">
        <v>474</v>
      </c>
      <c r="D5" s="93"/>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 t="shared" ref="B12:H12" si="0">B39/($B$5*$B$6)</f>
        <v>0</v>
      </c>
      <c r="C12" s="301">
        <f t="shared" si="0"/>
        <v>0</v>
      </c>
      <c r="D12" s="301">
        <f t="shared" si="0"/>
        <v>0</v>
      </c>
      <c r="E12" s="301">
        <f t="shared" si="0"/>
        <v>0</v>
      </c>
      <c r="F12" s="301">
        <f t="shared" si="0"/>
        <v>0</v>
      </c>
      <c r="G12" s="301">
        <f t="shared" si="0"/>
        <v>0</v>
      </c>
      <c r="H12" s="301">
        <f t="shared" si="0"/>
        <v>0</v>
      </c>
    </row>
    <row r="13" spans="1:8">
      <c r="A13" s="94" t="str">
        <f>'11.F&amp;V Crop Production details'!A74</f>
        <v>Onion</v>
      </c>
      <c r="B13" s="94">
        <f>'11.F&amp;V Crop Production details'!B74</f>
        <v>0</v>
      </c>
      <c r="C13" s="94">
        <f>'11.F&amp;V Crop Production details'!C74</f>
        <v>0</v>
      </c>
      <c r="D13" s="94">
        <f>'11.F&amp;V Crop Production details'!D74</f>
        <v>0</v>
      </c>
      <c r="E13" s="94">
        <f>'11.F&amp;V Crop Production details'!E74</f>
        <v>0</v>
      </c>
      <c r="F13" s="94">
        <f>'11.F&amp;V Crop Production details'!F74</f>
        <v>0</v>
      </c>
      <c r="G13" s="94">
        <f>'11.F&amp;V Crop Production details'!G74</f>
        <v>0</v>
      </c>
      <c r="H13" s="94">
        <f>'11.F&amp;V Crop Production details'!H74</f>
        <v>0</v>
      </c>
    </row>
    <row r="14" spans="1:8">
      <c r="A14" s="94" t="str">
        <f>'11.F&amp;V Crop Production details'!A75</f>
        <v>Tomato</v>
      </c>
      <c r="B14" s="94">
        <f>'11.F&amp;V Crop Production details'!B75</f>
        <v>0</v>
      </c>
      <c r="C14" s="94">
        <f>'11.F&amp;V Crop Production details'!C75</f>
        <v>0</v>
      </c>
      <c r="D14" s="94">
        <f>'11.F&amp;V Crop Production details'!D75</f>
        <v>0</v>
      </c>
      <c r="E14" s="94">
        <f>'11.F&amp;V Crop Production details'!E75</f>
        <v>0</v>
      </c>
      <c r="F14" s="94">
        <f>'11.F&amp;V Crop Production details'!F75</f>
        <v>0</v>
      </c>
      <c r="G14" s="94">
        <f>'11.F&amp;V Crop Production details'!G75</f>
        <v>0</v>
      </c>
      <c r="H14" s="94">
        <f>'11.F&amp;V Crop Production details'!H75</f>
        <v>0</v>
      </c>
    </row>
    <row r="15" spans="1:8">
      <c r="A15" s="94" t="str">
        <f>'11.F&amp;V Crop Production details'!A76</f>
        <v>Okra</v>
      </c>
      <c r="B15" s="94">
        <f>'11.F&amp;V Crop Production details'!B76</f>
        <v>0</v>
      </c>
      <c r="C15" s="94">
        <f>'11.F&amp;V Crop Production details'!C76</f>
        <v>0</v>
      </c>
      <c r="D15" s="94">
        <f>'11.F&amp;V Crop Production details'!D76</f>
        <v>0</v>
      </c>
      <c r="E15" s="94">
        <f>'11.F&amp;V Crop Production details'!E76</f>
        <v>0</v>
      </c>
      <c r="F15" s="94">
        <f>'11.F&amp;V Crop Production details'!F76</f>
        <v>0</v>
      </c>
      <c r="G15" s="94">
        <f>'11.F&amp;V Crop Production details'!G76</f>
        <v>0</v>
      </c>
      <c r="H15" s="94">
        <f>'11.F&amp;V Crop Production details'!H76</f>
        <v>0</v>
      </c>
    </row>
    <row r="16" spans="1:8">
      <c r="A16" s="94" t="str">
        <f>'11.F&amp;V Crop Production details'!A77</f>
        <v>Chilli</v>
      </c>
      <c r="B16" s="94">
        <f>'11.F&amp;V Crop Production details'!B77</f>
        <v>0</v>
      </c>
      <c r="C16" s="94">
        <f>'11.F&amp;V Crop Production details'!C77</f>
        <v>0</v>
      </c>
      <c r="D16" s="94">
        <f>'11.F&amp;V Crop Production details'!D77</f>
        <v>0</v>
      </c>
      <c r="E16" s="94">
        <f>'11.F&amp;V Crop Production details'!E77</f>
        <v>0</v>
      </c>
      <c r="F16" s="94">
        <f>'11.F&amp;V Crop Production details'!F77</f>
        <v>0</v>
      </c>
      <c r="G16" s="94">
        <f>'11.F&amp;V Crop Production details'!G77</f>
        <v>0</v>
      </c>
      <c r="H16" s="94">
        <f>'11.F&amp;V Crop Production details'!H77</f>
        <v>0</v>
      </c>
    </row>
    <row r="17" spans="1:8">
      <c r="A17" s="94" t="str">
        <f>'11.F&amp;V Crop Production details'!A78</f>
        <v>Potato</v>
      </c>
      <c r="B17" s="94">
        <f>'11.F&amp;V Crop Production details'!B78</f>
        <v>0</v>
      </c>
      <c r="C17" s="94">
        <f>'11.F&amp;V Crop Production details'!C78</f>
        <v>0</v>
      </c>
      <c r="D17" s="94">
        <f>'11.F&amp;V Crop Production details'!D78</f>
        <v>0</v>
      </c>
      <c r="E17" s="94">
        <f>'11.F&amp;V Crop Production details'!E78</f>
        <v>0</v>
      </c>
      <c r="F17" s="94">
        <f>'11.F&amp;V Crop Production details'!F78</f>
        <v>0</v>
      </c>
      <c r="G17" s="94">
        <f>'11.F&amp;V Crop Production details'!G78</f>
        <v>0</v>
      </c>
      <c r="H17" s="94">
        <f>'11.F&amp;V Crop Production details'!H78</f>
        <v>0</v>
      </c>
    </row>
    <row r="18" spans="1:8">
      <c r="A18" s="94">
        <f>'11.F&amp;V Crop Production details'!A79</f>
        <v>0</v>
      </c>
      <c r="B18" s="94">
        <f>'11.F&amp;V Crop Production details'!B79</f>
        <v>0</v>
      </c>
      <c r="C18" s="94">
        <f>'11.F&amp;V Crop Production details'!C79</f>
        <v>0</v>
      </c>
      <c r="D18" s="94">
        <f>'11.F&amp;V Crop Production details'!D79</f>
        <v>0</v>
      </c>
      <c r="E18" s="94">
        <f>'11.F&amp;V Crop Production details'!E79</f>
        <v>0</v>
      </c>
      <c r="F18" s="94">
        <f>'11.F&amp;V Crop Production details'!F79</f>
        <v>0</v>
      </c>
      <c r="G18" s="94">
        <f>'11.F&amp;V Crop Production details'!G79</f>
        <v>0</v>
      </c>
      <c r="H18" s="94">
        <f>'11.F&amp;V Crop Production details'!H79</f>
        <v>0</v>
      </c>
    </row>
    <row r="19" spans="1:8">
      <c r="A19" s="94">
        <f>'11.F&amp;V Crop Production details'!A80</f>
        <v>0</v>
      </c>
      <c r="B19" s="94">
        <f>'11.F&amp;V Crop Production details'!B80</f>
        <v>0</v>
      </c>
      <c r="C19" s="94">
        <f>'11.F&amp;V Crop Production details'!C80</f>
        <v>0</v>
      </c>
      <c r="D19" s="94">
        <f>'11.F&amp;V Crop Production details'!D80</f>
        <v>0</v>
      </c>
      <c r="E19" s="94">
        <f>'11.F&amp;V Crop Production details'!E80</f>
        <v>0</v>
      </c>
      <c r="F19" s="94">
        <f>'11.F&amp;V Crop Production details'!F80</f>
        <v>0</v>
      </c>
      <c r="G19" s="94">
        <f>'11.F&amp;V Crop Production details'!G80</f>
        <v>0</v>
      </c>
      <c r="H19" s="94">
        <f>'11.F&amp;V Crop Production details'!H80</f>
        <v>0</v>
      </c>
    </row>
    <row r="20" spans="1:8">
      <c r="A20" s="94">
        <f>'11.F&amp;V Crop Production details'!A81</f>
        <v>0</v>
      </c>
      <c r="B20" s="94">
        <f>'11.F&amp;V Crop Production details'!B81</f>
        <v>0</v>
      </c>
      <c r="C20" s="94">
        <f>'11.F&amp;V Crop Production details'!C81</f>
        <v>0</v>
      </c>
      <c r="D20" s="94">
        <f>'11.F&amp;V Crop Production details'!D81</f>
        <v>0</v>
      </c>
      <c r="E20" s="94">
        <f>'11.F&amp;V Crop Production details'!E81</f>
        <v>0</v>
      </c>
      <c r="F20" s="94">
        <f>'11.F&amp;V Crop Production details'!F81</f>
        <v>0</v>
      </c>
      <c r="G20" s="94">
        <f>'11.F&amp;V Crop Production details'!G81</f>
        <v>0</v>
      </c>
      <c r="H20" s="94">
        <f>'11.F&amp;V Crop Production details'!H81</f>
        <v>0</v>
      </c>
    </row>
    <row r="21" spans="1:8">
      <c r="A21" s="94">
        <f>'11.F&amp;V Crop Production details'!A82</f>
        <v>0</v>
      </c>
      <c r="B21" s="94">
        <f>'11.F&amp;V Crop Production details'!B82</f>
        <v>0</v>
      </c>
      <c r="C21" s="94">
        <f>'11.F&amp;V Crop Production details'!C82</f>
        <v>0</v>
      </c>
      <c r="D21" s="94">
        <f>'11.F&amp;V Crop Production details'!D82</f>
        <v>0</v>
      </c>
      <c r="E21" s="94">
        <f>'11.F&amp;V Crop Production details'!E82</f>
        <v>0</v>
      </c>
      <c r="F21" s="94">
        <f>'11.F&amp;V Crop Production details'!F82</f>
        <v>0</v>
      </c>
      <c r="G21" s="94">
        <f>'11.F&amp;V Crop Production details'!G82</f>
        <v>0</v>
      </c>
      <c r="H21" s="94">
        <f>'11.F&amp;V Crop Production details'!H82</f>
        <v>0</v>
      </c>
    </row>
    <row r="22" spans="1:8">
      <c r="A22" s="94" t="str">
        <f>'11.F&amp;V Crop Production details'!A83</f>
        <v>Onion</v>
      </c>
      <c r="B22" s="94">
        <f>'11.F&amp;V Crop Production details'!B83</f>
        <v>0</v>
      </c>
      <c r="C22" s="94">
        <f>'11.F&amp;V Crop Production details'!C83</f>
        <v>0</v>
      </c>
      <c r="D22" s="94">
        <f>'11.F&amp;V Crop Production details'!D83</f>
        <v>0</v>
      </c>
      <c r="E22" s="94">
        <f>'11.F&amp;V Crop Production details'!E83</f>
        <v>0</v>
      </c>
      <c r="F22" s="94">
        <f>'11.F&amp;V Crop Production details'!F83</f>
        <v>0</v>
      </c>
      <c r="G22" s="94">
        <f>'11.F&amp;V Crop Production details'!G83</f>
        <v>0</v>
      </c>
      <c r="H22" s="94">
        <f>'11.F&amp;V Crop Production details'!H83</f>
        <v>0</v>
      </c>
    </row>
    <row r="23" spans="1:8">
      <c r="A23" s="94" t="str">
        <f>'11.F&amp;V Crop Production details'!A84</f>
        <v>Tomato</v>
      </c>
      <c r="B23" s="94">
        <f>'11.F&amp;V Crop Production details'!B84</f>
        <v>0</v>
      </c>
      <c r="C23" s="94">
        <f>'11.F&amp;V Crop Production details'!C84</f>
        <v>0</v>
      </c>
      <c r="D23" s="94">
        <f>'11.F&amp;V Crop Production details'!D84</f>
        <v>0</v>
      </c>
      <c r="E23" s="94">
        <f>'11.F&amp;V Crop Production details'!E84</f>
        <v>0</v>
      </c>
      <c r="F23" s="94">
        <f>'11.F&amp;V Crop Production details'!F84</f>
        <v>0</v>
      </c>
      <c r="G23" s="94">
        <f>'11.F&amp;V Crop Production details'!G84</f>
        <v>0</v>
      </c>
      <c r="H23" s="94">
        <f>'11.F&amp;V Crop Production details'!H84</f>
        <v>0</v>
      </c>
    </row>
    <row r="24" spans="1:8">
      <c r="A24" s="94" t="str">
        <f>'11.F&amp;V Crop Production details'!A85</f>
        <v>Okra</v>
      </c>
      <c r="B24" s="94">
        <f>'11.F&amp;V Crop Production details'!B85</f>
        <v>0</v>
      </c>
      <c r="C24" s="94">
        <f>'11.F&amp;V Crop Production details'!C85</f>
        <v>0</v>
      </c>
      <c r="D24" s="94">
        <f>'11.F&amp;V Crop Production details'!D85</f>
        <v>0</v>
      </c>
      <c r="E24" s="94">
        <f>'11.F&amp;V Crop Production details'!E85</f>
        <v>0</v>
      </c>
      <c r="F24" s="94">
        <f>'11.F&amp;V Crop Production details'!F85</f>
        <v>0</v>
      </c>
      <c r="G24" s="94">
        <f>'11.F&amp;V Crop Production details'!G85</f>
        <v>0</v>
      </c>
      <c r="H24" s="94">
        <f>'11.F&amp;V Crop Production details'!H85</f>
        <v>0</v>
      </c>
    </row>
    <row r="25" spans="1:8">
      <c r="A25" s="94" t="str">
        <f>'11.F&amp;V Crop Production details'!A86</f>
        <v>Chilli</v>
      </c>
      <c r="B25" s="94">
        <f>'11.F&amp;V Crop Production details'!B86</f>
        <v>0</v>
      </c>
      <c r="C25" s="94">
        <f>'11.F&amp;V Crop Production details'!C86</f>
        <v>0</v>
      </c>
      <c r="D25" s="94">
        <f>'11.F&amp;V Crop Production details'!D86</f>
        <v>0</v>
      </c>
      <c r="E25" s="94">
        <f>'11.F&amp;V Crop Production details'!E86</f>
        <v>0</v>
      </c>
      <c r="F25" s="94">
        <f>'11.F&amp;V Crop Production details'!F86</f>
        <v>0</v>
      </c>
      <c r="G25" s="94">
        <f>'11.F&amp;V Crop Production details'!G86</f>
        <v>0</v>
      </c>
      <c r="H25" s="94">
        <f>'11.F&amp;V Crop Production details'!H86</f>
        <v>0</v>
      </c>
    </row>
    <row r="26" spans="1:8">
      <c r="A26" s="94" t="str">
        <f>'11.F&amp;V Crop Production details'!A87</f>
        <v>Brinjal</v>
      </c>
      <c r="B26" s="94">
        <f>'11.F&amp;V Crop Production details'!B87</f>
        <v>0</v>
      </c>
      <c r="C26" s="94">
        <f>'11.F&amp;V Crop Production details'!C87</f>
        <v>0</v>
      </c>
      <c r="D26" s="94">
        <f>'11.F&amp;V Crop Production details'!D87</f>
        <v>0</v>
      </c>
      <c r="E26" s="94">
        <f>'11.F&amp;V Crop Production details'!E87</f>
        <v>0</v>
      </c>
      <c r="F26" s="94">
        <f>'11.F&amp;V Crop Production details'!F87</f>
        <v>0</v>
      </c>
      <c r="G26" s="94">
        <f>'11.F&amp;V Crop Production details'!G87</f>
        <v>0</v>
      </c>
      <c r="H26" s="94">
        <f>'11.F&amp;V Crop Production details'!H87</f>
        <v>0</v>
      </c>
    </row>
    <row r="27" spans="1:8">
      <c r="A27" s="94">
        <f>'11.F&amp;V Crop Production details'!A88</f>
        <v>0</v>
      </c>
      <c r="B27" s="94">
        <f>'11.F&amp;V Crop Production details'!B88</f>
        <v>0</v>
      </c>
      <c r="C27" s="94">
        <f>'11.F&amp;V Crop Production details'!C88</f>
        <v>0</v>
      </c>
      <c r="D27" s="94">
        <f>'11.F&amp;V Crop Production details'!D88</f>
        <v>0</v>
      </c>
      <c r="E27" s="94">
        <f>'11.F&amp;V Crop Production details'!E88</f>
        <v>0</v>
      </c>
      <c r="F27" s="94">
        <f>'11.F&amp;V Crop Production details'!F88</f>
        <v>0</v>
      </c>
      <c r="G27" s="94">
        <f>'11.F&amp;V Crop Production details'!G88</f>
        <v>0</v>
      </c>
      <c r="H27" s="94">
        <f>'11.F&amp;V Crop Production details'!H88</f>
        <v>0</v>
      </c>
    </row>
    <row r="28" spans="1:8">
      <c r="A28" s="94">
        <f>'11.F&amp;V Crop Production details'!A89</f>
        <v>0</v>
      </c>
      <c r="B28" s="94">
        <f>'11.F&amp;V Crop Production details'!B89</f>
        <v>0</v>
      </c>
      <c r="C28" s="94">
        <f>'11.F&amp;V Crop Production details'!C89</f>
        <v>0</v>
      </c>
      <c r="D28" s="94">
        <f>'11.F&amp;V Crop Production details'!D89</f>
        <v>0</v>
      </c>
      <c r="E28" s="94">
        <f>'11.F&amp;V Crop Production details'!E89</f>
        <v>0</v>
      </c>
      <c r="F28" s="94">
        <f>'11.F&amp;V Crop Production details'!F89</f>
        <v>0</v>
      </c>
      <c r="G28" s="94">
        <f>'11.F&amp;V Crop Production details'!G89</f>
        <v>0</v>
      </c>
      <c r="H28" s="94">
        <f>'11.F&amp;V Crop Production details'!H89</f>
        <v>0</v>
      </c>
    </row>
    <row r="29" spans="1:8">
      <c r="A29" s="94">
        <f>'11.F&amp;V Crop Production details'!A90</f>
        <v>0</v>
      </c>
      <c r="B29" s="94">
        <f>'11.F&amp;V Crop Production details'!B90</f>
        <v>0</v>
      </c>
      <c r="C29" s="94">
        <f>'11.F&amp;V Crop Production details'!C90</f>
        <v>0</v>
      </c>
      <c r="D29" s="94">
        <f>'11.F&amp;V Crop Production details'!D90</f>
        <v>0</v>
      </c>
      <c r="E29" s="94">
        <f>'11.F&amp;V Crop Production details'!E90</f>
        <v>0</v>
      </c>
      <c r="F29" s="94">
        <f>'11.F&amp;V Crop Production details'!F90</f>
        <v>0</v>
      </c>
      <c r="G29" s="94">
        <f>'11.F&amp;V Crop Production details'!G90</f>
        <v>0</v>
      </c>
      <c r="H29" s="94">
        <f>'11.F&amp;V Crop Production details'!H90</f>
        <v>0</v>
      </c>
    </row>
    <row r="30" spans="1:8">
      <c r="A30" s="94">
        <f>'11.F&amp;V Crop Production details'!A91</f>
        <v>0</v>
      </c>
      <c r="B30" s="94">
        <f>'11.F&amp;V Crop Production details'!B91</f>
        <v>0</v>
      </c>
      <c r="C30" s="94">
        <f>'11.F&amp;V Crop Production details'!C91</f>
        <v>0</v>
      </c>
      <c r="D30" s="94">
        <f>'11.F&amp;V Crop Production details'!D91</f>
        <v>0</v>
      </c>
      <c r="E30" s="94">
        <f>'11.F&amp;V Crop Production details'!E91</f>
        <v>0</v>
      </c>
      <c r="F30" s="94">
        <f>'11.F&amp;V Crop Production details'!F91</f>
        <v>0</v>
      </c>
      <c r="G30" s="94">
        <f>'11.F&amp;V Crop Production details'!G91</f>
        <v>0</v>
      </c>
      <c r="H30" s="94">
        <f>'11.F&amp;V Crop Production details'!H91</f>
        <v>0</v>
      </c>
    </row>
    <row r="31" spans="1:8">
      <c r="A31" s="94">
        <f>'11.F&amp;V Crop Production details'!A92</f>
        <v>0</v>
      </c>
      <c r="B31" s="94">
        <f>'11.F&amp;V Crop Production details'!B92</f>
        <v>0</v>
      </c>
      <c r="C31" s="94">
        <f>'11.F&amp;V Crop Production details'!C92</f>
        <v>0</v>
      </c>
      <c r="D31" s="94">
        <f>'11.F&amp;V Crop Production details'!D92</f>
        <v>0</v>
      </c>
      <c r="E31" s="94">
        <f>'11.F&amp;V Crop Production details'!E92</f>
        <v>0</v>
      </c>
      <c r="F31" s="94">
        <f>'11.F&amp;V Crop Production details'!F92</f>
        <v>0</v>
      </c>
      <c r="G31" s="94">
        <f>'11.F&amp;V Crop Production details'!G92</f>
        <v>0</v>
      </c>
      <c r="H31" s="94">
        <f>'11.F&amp;V Crop Production details'!H92</f>
        <v>0</v>
      </c>
    </row>
    <row r="32" spans="1:8">
      <c r="A32" s="94">
        <f>'11.F&amp;V Crop Production details'!A93</f>
        <v>0</v>
      </c>
      <c r="B32" s="94">
        <f>'11.F&amp;V Crop Production details'!B93</f>
        <v>0</v>
      </c>
      <c r="C32" s="94">
        <f>'11.F&amp;V Crop Production details'!C93</f>
        <v>0</v>
      </c>
      <c r="D32" s="94">
        <f>'11.F&amp;V Crop Production details'!D93</f>
        <v>0</v>
      </c>
      <c r="E32" s="94">
        <f>'11.F&amp;V Crop Production details'!E93</f>
        <v>0</v>
      </c>
      <c r="F32" s="94">
        <f>'11.F&amp;V Crop Production details'!F93</f>
        <v>0</v>
      </c>
      <c r="G32" s="94">
        <f>'11.F&amp;V Crop Production details'!G93</f>
        <v>0</v>
      </c>
      <c r="H32" s="94">
        <f>'11.F&amp;V Crop Production details'!H93</f>
        <v>0</v>
      </c>
    </row>
    <row r="33" spans="1:8">
      <c r="A33" s="94">
        <f>'11.F&amp;V Crop Production details'!A94</f>
        <v>0</v>
      </c>
      <c r="B33" s="94">
        <f>'11.F&amp;V Crop Production details'!B94</f>
        <v>0</v>
      </c>
      <c r="C33" s="94">
        <f>'11.F&amp;V Crop Production details'!C94</f>
        <v>0</v>
      </c>
      <c r="D33" s="94">
        <f>'11.F&amp;V Crop Production details'!D94</f>
        <v>0</v>
      </c>
      <c r="E33" s="94">
        <f>'11.F&amp;V Crop Production details'!E94</f>
        <v>0</v>
      </c>
      <c r="F33" s="94">
        <f>'11.F&amp;V Crop Production details'!F94</f>
        <v>0</v>
      </c>
      <c r="G33" s="94">
        <f>'11.F&amp;V Crop Production details'!G94</f>
        <v>0</v>
      </c>
      <c r="H33" s="94">
        <f>'11.F&amp;V Crop Production details'!H94</f>
        <v>0</v>
      </c>
    </row>
    <row r="34" spans="1:8">
      <c r="A34" s="94" t="str">
        <f>'11.F&amp;V Crop Production details'!A95</f>
        <v>Pomegranate</v>
      </c>
      <c r="B34" s="94">
        <f>'11.F&amp;V Crop Production details'!B95</f>
        <v>0</v>
      </c>
      <c r="C34" s="94">
        <f>'11.F&amp;V Crop Production details'!C95</f>
        <v>0</v>
      </c>
      <c r="D34" s="94">
        <f>'11.F&amp;V Crop Production details'!D95</f>
        <v>0</v>
      </c>
      <c r="E34" s="94">
        <f>'11.F&amp;V Crop Production details'!E95</f>
        <v>0</v>
      </c>
      <c r="F34" s="94">
        <f>'11.F&amp;V Crop Production details'!F95</f>
        <v>0</v>
      </c>
      <c r="G34" s="94">
        <f>'11.F&amp;V Crop Production details'!G95</f>
        <v>0</v>
      </c>
      <c r="H34" s="94">
        <f>'11.F&amp;V Crop Production details'!H95</f>
        <v>0</v>
      </c>
    </row>
    <row r="35" spans="1:8">
      <c r="A35" s="94" t="str">
        <f>'11.F&amp;V Crop Production details'!A96</f>
        <v>Custard Apple</v>
      </c>
      <c r="B35" s="94">
        <f>'11.F&amp;V Crop Production details'!B96</f>
        <v>0</v>
      </c>
      <c r="C35" s="94">
        <f>'11.F&amp;V Crop Production details'!C96</f>
        <v>0</v>
      </c>
      <c r="D35" s="94">
        <f>'11.F&amp;V Crop Production details'!D96</f>
        <v>0</v>
      </c>
      <c r="E35" s="94">
        <f>'11.F&amp;V Crop Production details'!E96</f>
        <v>0</v>
      </c>
      <c r="F35" s="94">
        <f>'11.F&amp;V Crop Production details'!F96</f>
        <v>0</v>
      </c>
      <c r="G35" s="94">
        <f>'11.F&amp;V Crop Production details'!G96</f>
        <v>0</v>
      </c>
      <c r="H35" s="94">
        <f>'11.F&amp;V Crop Production details'!H96</f>
        <v>0</v>
      </c>
    </row>
    <row r="36" spans="1:8">
      <c r="A36" s="94" t="str">
        <f>'11.F&amp;V Crop Production details'!A97</f>
        <v>Guava</v>
      </c>
      <c r="B36" s="94">
        <f>'11.F&amp;V Crop Production details'!B97</f>
        <v>0</v>
      </c>
      <c r="C36" s="94">
        <f>'11.F&amp;V Crop Production details'!C97</f>
        <v>0</v>
      </c>
      <c r="D36" s="94">
        <f>'11.F&amp;V Crop Production details'!D97</f>
        <v>0</v>
      </c>
      <c r="E36" s="94">
        <f>'11.F&amp;V Crop Production details'!E97</f>
        <v>0</v>
      </c>
      <c r="F36" s="94">
        <f>'11.F&amp;V Crop Production details'!F97</f>
        <v>0</v>
      </c>
      <c r="G36" s="94">
        <f>'11.F&amp;V Crop Production details'!G97</f>
        <v>0</v>
      </c>
      <c r="H36" s="94">
        <f>'11.F&amp;V Crop Production details'!H97</f>
        <v>0</v>
      </c>
    </row>
    <row r="37" spans="1:8">
      <c r="A37" s="94" t="str">
        <f>'11.F&amp;V Crop Production details'!A98</f>
        <v>Citrus</v>
      </c>
      <c r="B37" s="94">
        <f>'11.F&amp;V Crop Production details'!B98</f>
        <v>0</v>
      </c>
      <c r="C37" s="94">
        <f>'11.F&amp;V Crop Production details'!C98</f>
        <v>0</v>
      </c>
      <c r="D37" s="94">
        <f>'11.F&amp;V Crop Production details'!D98</f>
        <v>0</v>
      </c>
      <c r="E37" s="94">
        <f>'11.F&amp;V Crop Production details'!E98</f>
        <v>0</v>
      </c>
      <c r="F37" s="94">
        <f>'11.F&amp;V Crop Production details'!F98</f>
        <v>0</v>
      </c>
      <c r="G37" s="94">
        <f>'11.F&amp;V Crop Production details'!G98</f>
        <v>0</v>
      </c>
      <c r="H37" s="94">
        <f>'11.F&amp;V Crop Production details'!H98</f>
        <v>0</v>
      </c>
    </row>
    <row r="38" spans="1:8">
      <c r="A38" s="94"/>
      <c r="B38" s="94"/>
      <c r="C38" s="94"/>
      <c r="D38" s="94"/>
      <c r="E38" s="94"/>
      <c r="F38" s="94"/>
      <c r="G38" s="94"/>
      <c r="H38" s="94"/>
    </row>
    <row r="39" spans="1:8">
      <c r="A39" s="94" t="s">
        <v>465</v>
      </c>
      <c r="B39" s="94">
        <f>SUM(B13:B37)</f>
        <v>0</v>
      </c>
      <c r="C39" s="94">
        <f t="shared" ref="C39:H39" si="1">SUM(C13:C37)</f>
        <v>0</v>
      </c>
      <c r="D39" s="94">
        <f t="shared" si="1"/>
        <v>0</v>
      </c>
      <c r="E39" s="94">
        <f t="shared" si="1"/>
        <v>0</v>
      </c>
      <c r="F39" s="94">
        <f t="shared" si="1"/>
        <v>0</v>
      </c>
      <c r="G39" s="94">
        <f t="shared" si="1"/>
        <v>0</v>
      </c>
      <c r="H39" s="94">
        <f t="shared" si="1"/>
        <v>0</v>
      </c>
    </row>
    <row r="40" spans="1:8">
      <c r="A40" s="311" t="s">
        <v>163</v>
      </c>
      <c r="B40" s="266">
        <v>0.5</v>
      </c>
      <c r="C40" s="266">
        <v>0.5</v>
      </c>
      <c r="D40" s="266">
        <v>0.5</v>
      </c>
      <c r="E40" s="266">
        <f t="shared" ref="E40:H40" si="2">D40</f>
        <v>0.5</v>
      </c>
      <c r="F40" s="266">
        <f t="shared" si="2"/>
        <v>0.5</v>
      </c>
      <c r="G40" s="266">
        <f t="shared" si="2"/>
        <v>0.5</v>
      </c>
      <c r="H40" s="266">
        <f t="shared" si="2"/>
        <v>0.5</v>
      </c>
    </row>
    <row r="41" spans="1:8">
      <c r="A41" s="98" t="s">
        <v>475</v>
      </c>
      <c r="B41" s="312">
        <f>1-B40</f>
        <v>0.5</v>
      </c>
      <c r="C41" s="312">
        <f t="shared" ref="C41:H41" si="3">1-C40</f>
        <v>0.5</v>
      </c>
      <c r="D41" s="312">
        <f t="shared" si="3"/>
        <v>0.5</v>
      </c>
      <c r="E41" s="312">
        <f t="shared" si="3"/>
        <v>0.5</v>
      </c>
      <c r="F41" s="312">
        <f t="shared" si="3"/>
        <v>0.5</v>
      </c>
      <c r="G41" s="312">
        <f t="shared" si="3"/>
        <v>0.5</v>
      </c>
      <c r="H41" s="312">
        <f t="shared" si="3"/>
        <v>0.5</v>
      </c>
    </row>
    <row r="42" spans="1:8">
      <c r="A42" s="96" t="s">
        <v>163</v>
      </c>
      <c r="B42" s="250">
        <v>100</v>
      </c>
      <c r="C42" s="250">
        <f t="shared" ref="C42:H42" si="4">C39*C40</f>
        <v>0</v>
      </c>
      <c r="D42" s="250">
        <f t="shared" si="4"/>
        <v>0</v>
      </c>
      <c r="E42" s="250">
        <f t="shared" si="4"/>
        <v>0</v>
      </c>
      <c r="F42" s="250">
        <f t="shared" si="4"/>
        <v>0</v>
      </c>
      <c r="G42" s="250">
        <f t="shared" si="4"/>
        <v>0</v>
      </c>
      <c r="H42" s="250">
        <f t="shared" si="4"/>
        <v>0</v>
      </c>
    </row>
    <row r="43" spans="1:8">
      <c r="A43" s="96" t="s">
        <v>164</v>
      </c>
      <c r="B43" s="114"/>
      <c r="C43" s="114"/>
      <c r="D43" s="114"/>
      <c r="E43" s="114"/>
      <c r="F43" s="114"/>
      <c r="G43" s="114"/>
      <c r="H43" s="114"/>
    </row>
    <row r="44" spans="1:8">
      <c r="A44" s="94" t="str">
        <f t="shared" ref="A44:A61" si="5">A13</f>
        <v>Onion</v>
      </c>
      <c r="B44" s="95">
        <f t="shared" ref="B44:B61" si="6">B13*$B$41</f>
        <v>0</v>
      </c>
      <c r="C44" s="95">
        <f t="shared" ref="C44:C61" si="7">C13*$C$41</f>
        <v>0</v>
      </c>
      <c r="D44" s="95">
        <f t="shared" ref="D44:D61" si="8">D13*$D$41</f>
        <v>0</v>
      </c>
      <c r="E44" s="95">
        <f t="shared" ref="E44:E61" si="9">E13*$E$41</f>
        <v>0</v>
      </c>
      <c r="F44" s="95">
        <f t="shared" ref="F44:F61" si="10">F13*$F$41</f>
        <v>0</v>
      </c>
      <c r="G44" s="95">
        <f t="shared" ref="G44:G61" si="11">G13*$G$41</f>
        <v>0</v>
      </c>
      <c r="H44" s="95">
        <f t="shared" ref="H44:H61" si="12">H13*$H$41</f>
        <v>0</v>
      </c>
    </row>
    <row r="45" spans="1:8">
      <c r="A45" s="94" t="str">
        <f t="shared" si="5"/>
        <v>Tomato</v>
      </c>
      <c r="B45" s="95">
        <f t="shared" si="6"/>
        <v>0</v>
      </c>
      <c r="C45" s="95">
        <f t="shared" si="7"/>
        <v>0</v>
      </c>
      <c r="D45" s="95">
        <f t="shared" si="8"/>
        <v>0</v>
      </c>
      <c r="E45" s="95">
        <f t="shared" si="9"/>
        <v>0</v>
      </c>
      <c r="F45" s="95">
        <f t="shared" si="10"/>
        <v>0</v>
      </c>
      <c r="G45" s="95">
        <f t="shared" si="11"/>
        <v>0</v>
      </c>
      <c r="H45" s="95">
        <f t="shared" si="12"/>
        <v>0</v>
      </c>
    </row>
    <row r="46" spans="1:8">
      <c r="A46" s="94" t="str">
        <f t="shared" si="5"/>
        <v>Okra</v>
      </c>
      <c r="B46" s="95">
        <f t="shared" si="6"/>
        <v>0</v>
      </c>
      <c r="C46" s="95">
        <f t="shared" si="7"/>
        <v>0</v>
      </c>
      <c r="D46" s="95">
        <f t="shared" si="8"/>
        <v>0</v>
      </c>
      <c r="E46" s="95">
        <f t="shared" si="9"/>
        <v>0</v>
      </c>
      <c r="F46" s="95">
        <f t="shared" si="10"/>
        <v>0</v>
      </c>
      <c r="G46" s="95">
        <f t="shared" si="11"/>
        <v>0</v>
      </c>
      <c r="H46" s="95">
        <f t="shared" si="12"/>
        <v>0</v>
      </c>
    </row>
    <row r="47" spans="1:8">
      <c r="A47" s="94" t="str">
        <f t="shared" si="5"/>
        <v>Chilli</v>
      </c>
      <c r="B47" s="95">
        <f t="shared" si="6"/>
        <v>0</v>
      </c>
      <c r="C47" s="95">
        <f t="shared" si="7"/>
        <v>0</v>
      </c>
      <c r="D47" s="95">
        <f t="shared" si="8"/>
        <v>0</v>
      </c>
      <c r="E47" s="95">
        <f t="shared" si="9"/>
        <v>0</v>
      </c>
      <c r="F47" s="95">
        <f t="shared" si="10"/>
        <v>0</v>
      </c>
      <c r="G47" s="95">
        <f t="shared" si="11"/>
        <v>0</v>
      </c>
      <c r="H47" s="95">
        <f t="shared" si="12"/>
        <v>0</v>
      </c>
    </row>
    <row r="48" spans="1:8">
      <c r="A48" s="94" t="str">
        <f t="shared" si="5"/>
        <v>Potato</v>
      </c>
      <c r="B48" s="95">
        <f t="shared" si="6"/>
        <v>0</v>
      </c>
      <c r="C48" s="95">
        <f t="shared" si="7"/>
        <v>0</v>
      </c>
      <c r="D48" s="95">
        <f t="shared" si="8"/>
        <v>0</v>
      </c>
      <c r="E48" s="95">
        <f t="shared" si="9"/>
        <v>0</v>
      </c>
      <c r="F48" s="95">
        <f t="shared" si="10"/>
        <v>0</v>
      </c>
      <c r="G48" s="95">
        <f t="shared" si="11"/>
        <v>0</v>
      </c>
      <c r="H48" s="95">
        <f t="shared" si="12"/>
        <v>0</v>
      </c>
    </row>
    <row r="49" spans="1:8">
      <c r="A49" s="94">
        <f t="shared" si="5"/>
        <v>0</v>
      </c>
      <c r="B49" s="95">
        <f t="shared" si="6"/>
        <v>0</v>
      </c>
      <c r="C49" s="95">
        <f t="shared" si="7"/>
        <v>0</v>
      </c>
      <c r="D49" s="95">
        <f t="shared" si="8"/>
        <v>0</v>
      </c>
      <c r="E49" s="95">
        <f t="shared" si="9"/>
        <v>0</v>
      </c>
      <c r="F49" s="95">
        <f t="shared" si="10"/>
        <v>0</v>
      </c>
      <c r="G49" s="95">
        <f t="shared" si="11"/>
        <v>0</v>
      </c>
      <c r="H49" s="95">
        <f t="shared" si="12"/>
        <v>0</v>
      </c>
    </row>
    <row r="50" spans="1:8">
      <c r="A50" s="94">
        <f t="shared" si="5"/>
        <v>0</v>
      </c>
      <c r="B50" s="95">
        <f t="shared" si="6"/>
        <v>0</v>
      </c>
      <c r="C50" s="95">
        <f t="shared" si="7"/>
        <v>0</v>
      </c>
      <c r="D50" s="95">
        <f t="shared" si="8"/>
        <v>0</v>
      </c>
      <c r="E50" s="95">
        <f t="shared" si="9"/>
        <v>0</v>
      </c>
      <c r="F50" s="95">
        <f t="shared" si="10"/>
        <v>0</v>
      </c>
      <c r="G50" s="95">
        <f t="shared" si="11"/>
        <v>0</v>
      </c>
      <c r="H50" s="95">
        <f t="shared" si="12"/>
        <v>0</v>
      </c>
    </row>
    <row r="51" spans="1:8">
      <c r="A51" s="94">
        <f t="shared" si="5"/>
        <v>0</v>
      </c>
      <c r="B51" s="95">
        <f t="shared" si="6"/>
        <v>0</v>
      </c>
      <c r="C51" s="95">
        <f t="shared" si="7"/>
        <v>0</v>
      </c>
      <c r="D51" s="95">
        <f t="shared" si="8"/>
        <v>0</v>
      </c>
      <c r="E51" s="95">
        <f t="shared" si="9"/>
        <v>0</v>
      </c>
      <c r="F51" s="95">
        <f t="shared" si="10"/>
        <v>0</v>
      </c>
      <c r="G51" s="95">
        <f t="shared" si="11"/>
        <v>0</v>
      </c>
      <c r="H51" s="95">
        <f t="shared" si="12"/>
        <v>0</v>
      </c>
    </row>
    <row r="52" spans="1:8">
      <c r="A52" s="94">
        <f t="shared" si="5"/>
        <v>0</v>
      </c>
      <c r="B52" s="95">
        <f t="shared" si="6"/>
        <v>0</v>
      </c>
      <c r="C52" s="95">
        <f t="shared" si="7"/>
        <v>0</v>
      </c>
      <c r="D52" s="95">
        <f t="shared" si="8"/>
        <v>0</v>
      </c>
      <c r="E52" s="95">
        <f t="shared" si="9"/>
        <v>0</v>
      </c>
      <c r="F52" s="95">
        <f t="shared" si="10"/>
        <v>0</v>
      </c>
      <c r="G52" s="95">
        <f t="shared" si="11"/>
        <v>0</v>
      </c>
      <c r="H52" s="95">
        <f t="shared" si="12"/>
        <v>0</v>
      </c>
    </row>
    <row r="53" spans="1:8">
      <c r="A53" s="94" t="str">
        <f t="shared" si="5"/>
        <v>Onion</v>
      </c>
      <c r="B53" s="95">
        <f t="shared" si="6"/>
        <v>0</v>
      </c>
      <c r="C53" s="95">
        <f t="shared" si="7"/>
        <v>0</v>
      </c>
      <c r="D53" s="95">
        <f t="shared" si="8"/>
        <v>0</v>
      </c>
      <c r="E53" s="95">
        <f t="shared" si="9"/>
        <v>0</v>
      </c>
      <c r="F53" s="95">
        <f t="shared" si="10"/>
        <v>0</v>
      </c>
      <c r="G53" s="95">
        <f t="shared" si="11"/>
        <v>0</v>
      </c>
      <c r="H53" s="95">
        <f t="shared" si="12"/>
        <v>0</v>
      </c>
    </row>
    <row r="54" spans="1:8">
      <c r="A54" s="94" t="str">
        <f t="shared" si="5"/>
        <v>Tomato</v>
      </c>
      <c r="B54" s="95">
        <f t="shared" si="6"/>
        <v>0</v>
      </c>
      <c r="C54" s="95">
        <f t="shared" si="7"/>
        <v>0</v>
      </c>
      <c r="D54" s="95">
        <f t="shared" si="8"/>
        <v>0</v>
      </c>
      <c r="E54" s="95">
        <f t="shared" si="9"/>
        <v>0</v>
      </c>
      <c r="F54" s="95">
        <f t="shared" si="10"/>
        <v>0</v>
      </c>
      <c r="G54" s="95">
        <f t="shared" si="11"/>
        <v>0</v>
      </c>
      <c r="H54" s="95">
        <f t="shared" si="12"/>
        <v>0</v>
      </c>
    </row>
    <row r="55" spans="1:8">
      <c r="A55" s="94" t="str">
        <f t="shared" si="5"/>
        <v>Okra</v>
      </c>
      <c r="B55" s="95">
        <f t="shared" si="6"/>
        <v>0</v>
      </c>
      <c r="C55" s="95">
        <f t="shared" si="7"/>
        <v>0</v>
      </c>
      <c r="D55" s="95">
        <f t="shared" si="8"/>
        <v>0</v>
      </c>
      <c r="E55" s="95">
        <f t="shared" si="9"/>
        <v>0</v>
      </c>
      <c r="F55" s="95">
        <f t="shared" si="10"/>
        <v>0</v>
      </c>
      <c r="G55" s="95">
        <f t="shared" si="11"/>
        <v>0</v>
      </c>
      <c r="H55" s="95">
        <f t="shared" si="12"/>
        <v>0</v>
      </c>
    </row>
    <row r="56" spans="1:8">
      <c r="A56" s="94" t="str">
        <f t="shared" si="5"/>
        <v>Chilli</v>
      </c>
      <c r="B56" s="95">
        <f t="shared" si="6"/>
        <v>0</v>
      </c>
      <c r="C56" s="95">
        <f t="shared" si="7"/>
        <v>0</v>
      </c>
      <c r="D56" s="95">
        <f t="shared" si="8"/>
        <v>0</v>
      </c>
      <c r="E56" s="95">
        <f t="shared" si="9"/>
        <v>0</v>
      </c>
      <c r="F56" s="95">
        <f t="shared" si="10"/>
        <v>0</v>
      </c>
      <c r="G56" s="95">
        <f t="shared" si="11"/>
        <v>0</v>
      </c>
      <c r="H56" s="95">
        <f t="shared" si="12"/>
        <v>0</v>
      </c>
    </row>
    <row r="57" spans="1:8">
      <c r="A57" s="94" t="str">
        <f t="shared" si="5"/>
        <v>Brinjal</v>
      </c>
      <c r="B57" s="95">
        <f t="shared" si="6"/>
        <v>0</v>
      </c>
      <c r="C57" s="95">
        <f t="shared" si="7"/>
        <v>0</v>
      </c>
      <c r="D57" s="95">
        <f t="shared" si="8"/>
        <v>0</v>
      </c>
      <c r="E57" s="95">
        <f t="shared" si="9"/>
        <v>0</v>
      </c>
      <c r="F57" s="95">
        <f t="shared" si="10"/>
        <v>0</v>
      </c>
      <c r="G57" s="95">
        <f t="shared" si="11"/>
        <v>0</v>
      </c>
      <c r="H57" s="95">
        <f t="shared" si="12"/>
        <v>0</v>
      </c>
    </row>
    <row r="58" spans="1:8">
      <c r="A58" s="94">
        <f t="shared" si="5"/>
        <v>0</v>
      </c>
      <c r="B58" s="95">
        <f t="shared" si="6"/>
        <v>0</v>
      </c>
      <c r="C58" s="95">
        <f t="shared" si="7"/>
        <v>0</v>
      </c>
      <c r="D58" s="95">
        <f t="shared" si="8"/>
        <v>0</v>
      </c>
      <c r="E58" s="95">
        <f t="shared" si="9"/>
        <v>0</v>
      </c>
      <c r="F58" s="95">
        <f t="shared" si="10"/>
        <v>0</v>
      </c>
      <c r="G58" s="95">
        <f t="shared" si="11"/>
        <v>0</v>
      </c>
      <c r="H58" s="95">
        <f t="shared" si="12"/>
        <v>0</v>
      </c>
    </row>
    <row r="59" spans="1:8">
      <c r="A59" s="94">
        <f t="shared" si="5"/>
        <v>0</v>
      </c>
      <c r="B59" s="95">
        <f t="shared" si="6"/>
        <v>0</v>
      </c>
      <c r="C59" s="95">
        <f t="shared" si="7"/>
        <v>0</v>
      </c>
      <c r="D59" s="95">
        <f t="shared" si="8"/>
        <v>0</v>
      </c>
      <c r="E59" s="95">
        <f t="shared" si="9"/>
        <v>0</v>
      </c>
      <c r="F59" s="95">
        <f t="shared" si="10"/>
        <v>0</v>
      </c>
      <c r="G59" s="95">
        <f t="shared" si="11"/>
        <v>0</v>
      </c>
      <c r="H59" s="95">
        <f t="shared" si="12"/>
        <v>0</v>
      </c>
    </row>
    <row r="60" spans="1:8">
      <c r="A60" s="94">
        <f t="shared" si="5"/>
        <v>0</v>
      </c>
      <c r="B60" s="95">
        <f t="shared" si="6"/>
        <v>0</v>
      </c>
      <c r="C60" s="95">
        <f t="shared" si="7"/>
        <v>0</v>
      </c>
      <c r="D60" s="95">
        <f t="shared" si="8"/>
        <v>0</v>
      </c>
      <c r="E60" s="95">
        <f t="shared" si="9"/>
        <v>0</v>
      </c>
      <c r="F60" s="95">
        <f t="shared" si="10"/>
        <v>0</v>
      </c>
      <c r="G60" s="95">
        <f t="shared" si="11"/>
        <v>0</v>
      </c>
      <c r="H60" s="95">
        <f t="shared" si="12"/>
        <v>0</v>
      </c>
    </row>
    <row r="61" spans="1:8">
      <c r="A61" s="94">
        <f t="shared" si="5"/>
        <v>0</v>
      </c>
      <c r="B61" s="95">
        <f t="shared" si="6"/>
        <v>0</v>
      </c>
      <c r="C61" s="95">
        <f t="shared" si="7"/>
        <v>0</v>
      </c>
      <c r="D61" s="95">
        <f t="shared" si="8"/>
        <v>0</v>
      </c>
      <c r="E61" s="95">
        <f t="shared" si="9"/>
        <v>0</v>
      </c>
      <c r="F61" s="95">
        <f t="shared" si="10"/>
        <v>0</v>
      </c>
      <c r="G61" s="95">
        <f t="shared" si="11"/>
        <v>0</v>
      </c>
      <c r="H61" s="95">
        <f t="shared" si="12"/>
        <v>0</v>
      </c>
    </row>
    <row r="62" spans="1:8">
      <c r="A62" s="94" t="str">
        <f t="shared" ref="A62" si="13">A34</f>
        <v>Pomegranate</v>
      </c>
      <c r="B62" s="95">
        <f>B34*$B$41</f>
        <v>0</v>
      </c>
      <c r="C62" s="95">
        <f t="shared" ref="C62:H62" si="14">C34*$B$41</f>
        <v>0</v>
      </c>
      <c r="D62" s="95">
        <f t="shared" si="14"/>
        <v>0</v>
      </c>
      <c r="E62" s="95">
        <f t="shared" si="14"/>
        <v>0</v>
      </c>
      <c r="F62" s="95">
        <f t="shared" si="14"/>
        <v>0</v>
      </c>
      <c r="G62" s="95">
        <f t="shared" si="14"/>
        <v>0</v>
      </c>
      <c r="H62" s="95">
        <f t="shared" si="14"/>
        <v>0</v>
      </c>
    </row>
    <row r="63" spans="1:8">
      <c r="A63" s="94" t="str">
        <f>A35</f>
        <v>Custard Apple</v>
      </c>
      <c r="B63" s="95">
        <f t="shared" ref="B63:H63" si="15">B35*$B$41</f>
        <v>0</v>
      </c>
      <c r="C63" s="95">
        <f t="shared" si="15"/>
        <v>0</v>
      </c>
      <c r="D63" s="95">
        <f t="shared" si="15"/>
        <v>0</v>
      </c>
      <c r="E63" s="95">
        <f t="shared" si="15"/>
        <v>0</v>
      </c>
      <c r="F63" s="95">
        <f t="shared" si="15"/>
        <v>0</v>
      </c>
      <c r="G63" s="95">
        <f t="shared" si="15"/>
        <v>0</v>
      </c>
      <c r="H63" s="95">
        <f t="shared" si="15"/>
        <v>0</v>
      </c>
    </row>
    <row r="64" spans="1:8">
      <c r="A64" s="94" t="str">
        <f>A36</f>
        <v>Guava</v>
      </c>
      <c r="B64" s="95">
        <f t="shared" ref="B64:H65" si="16">B36*$B$41</f>
        <v>0</v>
      </c>
      <c r="C64" s="95">
        <f t="shared" si="16"/>
        <v>0</v>
      </c>
      <c r="D64" s="95">
        <f t="shared" si="16"/>
        <v>0</v>
      </c>
      <c r="E64" s="95">
        <f t="shared" si="16"/>
        <v>0</v>
      </c>
      <c r="F64" s="95">
        <f t="shared" si="16"/>
        <v>0</v>
      </c>
      <c r="G64" s="95">
        <f t="shared" si="16"/>
        <v>0</v>
      </c>
      <c r="H64" s="95">
        <f t="shared" si="16"/>
        <v>0</v>
      </c>
    </row>
    <row r="65" spans="1:8">
      <c r="A65" s="94" t="str">
        <f>A37</f>
        <v>Citrus</v>
      </c>
      <c r="B65" s="95">
        <f t="shared" si="16"/>
        <v>0</v>
      </c>
      <c r="C65" s="95">
        <f t="shared" si="16"/>
        <v>0</v>
      </c>
      <c r="D65" s="95">
        <f t="shared" si="16"/>
        <v>0</v>
      </c>
      <c r="E65" s="95">
        <f t="shared" si="16"/>
        <v>0</v>
      </c>
      <c r="F65" s="95">
        <f t="shared" si="16"/>
        <v>0</v>
      </c>
      <c r="G65" s="95">
        <f t="shared" si="16"/>
        <v>0</v>
      </c>
      <c r="H65" s="95">
        <f t="shared" si="16"/>
        <v>0</v>
      </c>
    </row>
    <row r="66" spans="1:8">
      <c r="A66" s="96" t="s">
        <v>285</v>
      </c>
      <c r="B66" s="94"/>
      <c r="C66" s="94"/>
      <c r="D66" s="94"/>
      <c r="E66" s="94"/>
      <c r="F66" s="94"/>
      <c r="G66" s="94"/>
      <c r="H66" s="94"/>
    </row>
    <row r="67" spans="1:8">
      <c r="A67" s="94" t="str">
        <f>A44</f>
        <v>Onion</v>
      </c>
      <c r="B67" s="190"/>
      <c r="C67" s="190"/>
      <c r="D67" s="190"/>
      <c r="E67" s="190"/>
      <c r="F67" s="190"/>
      <c r="G67" s="190"/>
      <c r="H67" s="190"/>
    </row>
    <row r="68" spans="1:8">
      <c r="A68" s="94"/>
      <c r="B68" s="190"/>
      <c r="C68" s="190"/>
      <c r="D68" s="190"/>
      <c r="E68" s="190"/>
      <c r="F68" s="190"/>
      <c r="G68" s="190"/>
      <c r="H68" s="190"/>
    </row>
    <row r="69" spans="1:8">
      <c r="A69" s="94"/>
      <c r="B69" s="190"/>
      <c r="C69" s="190"/>
      <c r="D69" s="190"/>
      <c r="E69" s="190"/>
      <c r="F69" s="190"/>
      <c r="G69" s="190"/>
      <c r="H69" s="190"/>
    </row>
    <row r="70" spans="1:8">
      <c r="A70" s="94"/>
      <c r="B70" s="190"/>
      <c r="C70" s="190"/>
      <c r="D70" s="190"/>
      <c r="E70" s="190"/>
      <c r="F70" s="190"/>
      <c r="G70" s="190"/>
      <c r="H70" s="190"/>
    </row>
    <row r="71" spans="1:8">
      <c r="A71" s="94" t="str">
        <f>A45</f>
        <v>Tomato</v>
      </c>
      <c r="B71" s="95"/>
      <c r="C71" s="95"/>
      <c r="D71" s="95"/>
      <c r="E71" s="95"/>
      <c r="F71" s="95"/>
      <c r="G71" s="95"/>
      <c r="H71" s="95"/>
    </row>
    <row r="72" spans="1:8">
      <c r="A72" s="94"/>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t="str">
        <f>A46</f>
        <v>Okra</v>
      </c>
      <c r="B75" s="95"/>
      <c r="C75" s="95"/>
      <c r="D75" s="95"/>
      <c r="E75" s="95"/>
      <c r="F75" s="95"/>
      <c r="G75" s="95"/>
      <c r="H75" s="95"/>
    </row>
    <row r="76" spans="1:8">
      <c r="A76" s="94"/>
      <c r="B76" s="95"/>
      <c r="C76" s="95"/>
      <c r="D76" s="95"/>
      <c r="E76" s="95"/>
      <c r="F76" s="95"/>
      <c r="G76" s="95"/>
      <c r="H76" s="95"/>
    </row>
    <row r="77" spans="1:8">
      <c r="A77" s="94"/>
      <c r="B77" s="95"/>
      <c r="C77" s="95"/>
      <c r="D77" s="95"/>
      <c r="E77" s="95"/>
      <c r="F77" s="95"/>
      <c r="G77" s="95"/>
      <c r="H77" s="95"/>
    </row>
    <row r="78" spans="1:8">
      <c r="A78" s="94"/>
      <c r="B78" s="95"/>
      <c r="C78" s="95"/>
      <c r="D78" s="95"/>
      <c r="E78" s="95"/>
      <c r="F78" s="95"/>
      <c r="G78" s="95"/>
      <c r="H78" s="95"/>
    </row>
    <row r="79" spans="1:8">
      <c r="A79" s="94" t="str">
        <f>A47</f>
        <v>Chilli</v>
      </c>
      <c r="B79" s="95"/>
      <c r="C79" s="95"/>
      <c r="D79" s="95"/>
      <c r="E79" s="95"/>
      <c r="F79" s="95"/>
      <c r="G79" s="95"/>
      <c r="H79" s="95"/>
    </row>
    <row r="80" spans="1:8">
      <c r="A80" s="94"/>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A48</f>
        <v>Potato</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f>A49</f>
        <v>0</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f>A50</f>
        <v>0</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f>A51</f>
        <v>0</v>
      </c>
      <c r="B94" s="95"/>
      <c r="C94" s="95"/>
      <c r="D94" s="95"/>
      <c r="E94" s="95"/>
      <c r="F94" s="95"/>
      <c r="G94" s="95"/>
      <c r="H94" s="95"/>
    </row>
    <row r="95" spans="1:8">
      <c r="A95" s="94"/>
      <c r="B95" s="95"/>
      <c r="C95" s="95"/>
      <c r="D95" s="95"/>
      <c r="E95" s="95"/>
      <c r="F95" s="95"/>
      <c r="G95" s="95"/>
      <c r="H95" s="95"/>
    </row>
    <row r="96" spans="1:8">
      <c r="A96" s="94"/>
      <c r="B96" s="95"/>
      <c r="C96" s="95"/>
      <c r="D96" s="95"/>
      <c r="E96" s="95"/>
      <c r="F96" s="95"/>
      <c r="G96" s="95"/>
      <c r="H96" s="95"/>
    </row>
    <row r="97" spans="1:8">
      <c r="A97" s="94"/>
      <c r="B97" s="95"/>
      <c r="C97" s="95"/>
      <c r="D97" s="95"/>
      <c r="E97" s="95"/>
      <c r="F97" s="95"/>
      <c r="G97" s="95"/>
      <c r="H97" s="95"/>
    </row>
    <row r="98" spans="1:8">
      <c r="A98" s="94">
        <f>A52</f>
        <v>0</v>
      </c>
      <c r="B98" s="95"/>
      <c r="C98" s="95"/>
      <c r="D98" s="95"/>
      <c r="E98" s="95"/>
      <c r="F98" s="95"/>
      <c r="G98" s="95"/>
      <c r="H98" s="95"/>
    </row>
    <row r="99" spans="1:8">
      <c r="A99" s="94"/>
      <c r="B99" s="95"/>
      <c r="C99" s="95"/>
      <c r="D99" s="95"/>
      <c r="E99" s="95"/>
      <c r="F99" s="95"/>
      <c r="G99" s="95"/>
      <c r="H99" s="95"/>
    </row>
    <row r="100" spans="1:8">
      <c r="A100" s="94"/>
      <c r="B100" s="95"/>
      <c r="C100" s="95"/>
      <c r="D100" s="95"/>
      <c r="E100" s="95"/>
      <c r="F100" s="95"/>
      <c r="G100" s="95"/>
      <c r="H100" s="95"/>
    </row>
    <row r="101" spans="1:8">
      <c r="A101" s="94"/>
      <c r="B101" s="95"/>
      <c r="C101" s="95"/>
      <c r="D101" s="95"/>
      <c r="E101" s="95"/>
      <c r="F101" s="95"/>
      <c r="G101" s="95"/>
      <c r="H101" s="95"/>
    </row>
    <row r="102" spans="1:8">
      <c r="A102" s="94" t="str">
        <f>A53</f>
        <v>Onion</v>
      </c>
      <c r="B102" s="95"/>
      <c r="C102" s="95"/>
      <c r="D102" s="95"/>
      <c r="E102" s="95"/>
      <c r="F102" s="95"/>
      <c r="G102" s="95"/>
      <c r="H102" s="95"/>
    </row>
    <row r="103" spans="1:8">
      <c r="A103" s="94"/>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A54</f>
        <v>Tomato</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c r="B109" s="95"/>
      <c r="C109" s="95"/>
      <c r="D109" s="95"/>
      <c r="E109" s="95"/>
      <c r="F109" s="95"/>
      <c r="G109" s="95"/>
      <c r="H109" s="95"/>
    </row>
    <row r="110" spans="1:8">
      <c r="A110" s="94" t="str">
        <f>A55</f>
        <v>Okra</v>
      </c>
      <c r="B110" s="95"/>
      <c r="C110" s="95"/>
      <c r="D110" s="95"/>
      <c r="E110" s="95"/>
      <c r="F110" s="95"/>
      <c r="G110" s="95"/>
      <c r="H110" s="95"/>
    </row>
    <row r="111" spans="1:8">
      <c r="A111" s="94"/>
      <c r="B111" s="95"/>
      <c r="C111" s="95"/>
      <c r="D111" s="95"/>
      <c r="E111" s="95"/>
      <c r="F111" s="95"/>
      <c r="G111" s="95"/>
      <c r="H111" s="95"/>
    </row>
    <row r="112" spans="1:8">
      <c r="A112" s="94"/>
      <c r="B112" s="95"/>
      <c r="C112" s="95"/>
      <c r="D112" s="95"/>
      <c r="E112" s="95"/>
      <c r="F112" s="95"/>
      <c r="G112" s="95"/>
      <c r="H112" s="95"/>
    </row>
    <row r="113" spans="1:8">
      <c r="A113" s="94"/>
      <c r="B113" s="95"/>
      <c r="C113" s="95"/>
      <c r="D113" s="95"/>
      <c r="E113" s="95"/>
      <c r="F113" s="95"/>
      <c r="G113" s="95"/>
      <c r="H113" s="95"/>
    </row>
    <row r="114" spans="1:8">
      <c r="A114" s="94" t="str">
        <f>A56</f>
        <v>Chilli</v>
      </c>
      <c r="B114" s="95"/>
      <c r="C114" s="95"/>
      <c r="D114" s="95"/>
      <c r="E114" s="95"/>
      <c r="F114" s="95"/>
      <c r="G114" s="95"/>
      <c r="H114" s="95"/>
    </row>
    <row r="115" spans="1:8">
      <c r="A115" s="94"/>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6" t="str">
        <f t="shared" ref="A118:A123" si="17">A57</f>
        <v>Brinjal</v>
      </c>
      <c r="B118" s="95"/>
      <c r="C118" s="95"/>
      <c r="D118" s="95"/>
      <c r="E118" s="95"/>
      <c r="F118" s="95"/>
      <c r="G118" s="95"/>
      <c r="H118" s="95"/>
    </row>
    <row r="119" spans="1:8">
      <c r="A119" s="94">
        <f t="shared" si="17"/>
        <v>0</v>
      </c>
      <c r="B119" s="95"/>
      <c r="C119" s="95"/>
      <c r="D119" s="95"/>
      <c r="E119" s="95"/>
      <c r="F119" s="95"/>
      <c r="G119" s="95"/>
      <c r="H119" s="95"/>
    </row>
    <row r="120" spans="1:8">
      <c r="A120" s="94">
        <f t="shared" si="17"/>
        <v>0</v>
      </c>
      <c r="B120" s="95"/>
      <c r="C120" s="95"/>
      <c r="D120" s="95"/>
      <c r="E120" s="95"/>
      <c r="F120" s="95"/>
      <c r="G120" s="95"/>
      <c r="H120" s="95"/>
    </row>
    <row r="121" spans="1:8">
      <c r="A121" s="94">
        <f t="shared" si="17"/>
        <v>0</v>
      </c>
      <c r="B121" s="95"/>
      <c r="C121" s="95"/>
      <c r="D121" s="95"/>
      <c r="E121" s="95"/>
      <c r="F121" s="95"/>
      <c r="G121" s="95"/>
      <c r="H121" s="95"/>
    </row>
    <row r="122" spans="1:8">
      <c r="A122" s="94">
        <f t="shared" si="17"/>
        <v>0</v>
      </c>
      <c r="B122" s="95"/>
      <c r="C122" s="95"/>
      <c r="D122" s="95"/>
      <c r="E122" s="95"/>
      <c r="F122" s="95"/>
      <c r="G122" s="95"/>
      <c r="H122" s="95"/>
    </row>
    <row r="123" spans="1:8">
      <c r="A123" s="96" t="str">
        <f t="shared" si="17"/>
        <v>Pomegranate</v>
      </c>
      <c r="B123" s="95"/>
      <c r="C123" s="95"/>
      <c r="D123" s="95"/>
      <c r="E123" s="95"/>
      <c r="F123" s="95"/>
      <c r="G123" s="95"/>
      <c r="H123" s="95"/>
    </row>
    <row r="124" spans="1:8">
      <c r="A124" s="94" t="s">
        <v>522</v>
      </c>
      <c r="B124" s="95">
        <f>(B$62*50%)*0.7</f>
        <v>0</v>
      </c>
      <c r="C124" s="95">
        <f>(C$62*50%)*0.7</f>
        <v>0</v>
      </c>
      <c r="D124" s="95">
        <f t="shared" ref="D124:H126" si="18">(D$62*50%)*0.7</f>
        <v>0</v>
      </c>
      <c r="E124" s="95">
        <f t="shared" si="18"/>
        <v>0</v>
      </c>
      <c r="F124" s="95">
        <f t="shared" si="18"/>
        <v>0</v>
      </c>
      <c r="G124" s="95">
        <f t="shared" si="18"/>
        <v>0</v>
      </c>
      <c r="H124" s="95">
        <f t="shared" si="18"/>
        <v>0</v>
      </c>
    </row>
    <row r="125" spans="1:8">
      <c r="A125" s="94" t="s">
        <v>520</v>
      </c>
      <c r="B125" s="95">
        <f>(B$62*50%)*0.7*2</f>
        <v>0</v>
      </c>
      <c r="C125" s="95">
        <f>(C$62*50%)*0.7</f>
        <v>0</v>
      </c>
      <c r="D125" s="95">
        <f t="shared" si="18"/>
        <v>0</v>
      </c>
      <c r="E125" s="95">
        <f t="shared" si="18"/>
        <v>0</v>
      </c>
      <c r="F125" s="95">
        <f t="shared" si="18"/>
        <v>0</v>
      </c>
      <c r="G125" s="95">
        <f t="shared" si="18"/>
        <v>0</v>
      </c>
      <c r="H125" s="95">
        <f t="shared" si="18"/>
        <v>0</v>
      </c>
    </row>
    <row r="126" spans="1:8">
      <c r="A126" s="94" t="s">
        <v>521</v>
      </c>
      <c r="B126" s="95">
        <f>(B$62*0.3)*0.2</f>
        <v>0</v>
      </c>
      <c r="C126" s="95">
        <f>(C$62*50%)*0.7</f>
        <v>0</v>
      </c>
      <c r="D126" s="95">
        <f t="shared" si="18"/>
        <v>0</v>
      </c>
      <c r="E126" s="95">
        <f t="shared" si="18"/>
        <v>0</v>
      </c>
      <c r="F126" s="95">
        <f t="shared" si="18"/>
        <v>0</v>
      </c>
      <c r="G126" s="95">
        <f t="shared" si="18"/>
        <v>0</v>
      </c>
      <c r="H126" s="95">
        <f t="shared" si="18"/>
        <v>0</v>
      </c>
    </row>
    <row r="127" spans="1:8">
      <c r="A127" s="94" t="str">
        <f t="shared" ref="A127" si="19">A63</f>
        <v>Custard Apple</v>
      </c>
      <c r="B127" s="95"/>
      <c r="C127" s="95"/>
      <c r="D127" s="95"/>
      <c r="E127" s="95"/>
      <c r="F127" s="95"/>
      <c r="G127" s="95"/>
      <c r="H127" s="95"/>
    </row>
    <row r="128" spans="1:8">
      <c r="A128" s="94"/>
      <c r="B128" s="95"/>
      <c r="C128" s="95"/>
      <c r="D128" s="95"/>
      <c r="E128" s="95"/>
      <c r="F128" s="95"/>
      <c r="G128" s="95"/>
      <c r="H128" s="95"/>
    </row>
    <row r="129" spans="1:8">
      <c r="A129" s="94"/>
      <c r="B129" s="95"/>
      <c r="C129" s="95"/>
      <c r="D129" s="95"/>
      <c r="E129" s="95"/>
      <c r="F129" s="95"/>
      <c r="G129" s="95"/>
      <c r="H129" s="95"/>
    </row>
    <row r="130" spans="1:8">
      <c r="A130" s="94"/>
      <c r="B130" s="95"/>
      <c r="C130" s="95"/>
      <c r="D130" s="95"/>
      <c r="E130" s="95"/>
      <c r="F130" s="95"/>
      <c r="G130" s="95"/>
      <c r="H130" s="95"/>
    </row>
    <row r="131" spans="1:8">
      <c r="A131" s="94" t="str">
        <f>A64</f>
        <v>Guava</v>
      </c>
      <c r="B131" s="95"/>
      <c r="C131" s="95"/>
      <c r="D131" s="95"/>
      <c r="E131" s="95"/>
      <c r="F131" s="95"/>
      <c r="G131" s="95"/>
      <c r="H131" s="95"/>
    </row>
    <row r="132" spans="1:8">
      <c r="A132" s="94"/>
      <c r="B132" s="95"/>
      <c r="C132" s="95"/>
      <c r="D132" s="95"/>
      <c r="E132" s="95"/>
      <c r="F132" s="95"/>
      <c r="G132" s="95"/>
      <c r="H132" s="95"/>
    </row>
    <row r="133" spans="1:8">
      <c r="A133" s="94"/>
      <c r="B133" s="95"/>
      <c r="C133" s="95"/>
      <c r="D133" s="95"/>
      <c r="E133" s="95"/>
      <c r="F133" s="95"/>
      <c r="G133" s="95"/>
      <c r="H133" s="95"/>
    </row>
    <row r="134" spans="1:8">
      <c r="A134" s="94"/>
      <c r="B134" s="95"/>
      <c r="C134" s="95"/>
      <c r="D134" s="95"/>
      <c r="E134" s="95"/>
      <c r="F134" s="95"/>
      <c r="G134" s="95"/>
      <c r="H134" s="95"/>
    </row>
    <row r="135" spans="1:8">
      <c r="A135" s="94" t="str">
        <f>A65</f>
        <v>Citrus</v>
      </c>
      <c r="B135" s="95"/>
      <c r="C135" s="95"/>
      <c r="D135" s="95"/>
      <c r="E135" s="95"/>
      <c r="F135" s="95"/>
      <c r="G135" s="95"/>
      <c r="H135" s="95"/>
    </row>
    <row r="136" spans="1:8">
      <c r="A136" s="94"/>
      <c r="B136" s="95"/>
      <c r="C136" s="95"/>
      <c r="D136" s="95"/>
      <c r="E136" s="95"/>
      <c r="F136" s="95"/>
      <c r="G136" s="95"/>
      <c r="H136" s="95"/>
    </row>
    <row r="137" spans="1:8">
      <c r="A137" s="94"/>
      <c r="B137" s="95"/>
      <c r="C137" s="95"/>
      <c r="D137" s="95"/>
      <c r="E137" s="95"/>
      <c r="F137" s="95"/>
      <c r="G137" s="95"/>
      <c r="H137" s="95"/>
    </row>
    <row r="138" spans="1:8">
      <c r="A138" s="94"/>
      <c r="B138" s="95"/>
      <c r="C138" s="95"/>
      <c r="D138" s="95"/>
      <c r="E138" s="95"/>
      <c r="F138" s="95"/>
      <c r="G138" s="95"/>
      <c r="H138" s="95"/>
    </row>
    <row r="139" spans="1:8">
      <c r="A139" s="185"/>
      <c r="B139" s="294"/>
      <c r="C139" s="294"/>
      <c r="D139" s="294"/>
      <c r="E139" s="294"/>
      <c r="F139" s="294"/>
      <c r="G139" s="294"/>
      <c r="H139" s="294"/>
    </row>
    <row r="140" spans="1:8">
      <c r="A140" s="186" t="s">
        <v>452</v>
      </c>
    </row>
    <row r="141" spans="1:8">
      <c r="A141" t="s">
        <v>525</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526</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527</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12" t="s">
        <v>585</v>
      </c>
      <c r="B147" s="412"/>
      <c r="C147" s="412"/>
      <c r="D147" s="412"/>
      <c r="E147" s="412"/>
      <c r="F147" s="412"/>
      <c r="G147" s="412"/>
      <c r="H147" s="412"/>
      <c r="I147" s="412"/>
      <c r="J147" s="412"/>
    </row>
    <row r="148" spans="1:10">
      <c r="A148" s="306"/>
      <c r="B148" s="306"/>
      <c r="C148" s="306"/>
      <c r="D148" s="306"/>
      <c r="E148" s="306"/>
      <c r="F148" s="306"/>
      <c r="G148" s="306"/>
      <c r="H148" s="306"/>
    </row>
    <row r="149" spans="1:10">
      <c r="A149" s="309"/>
      <c r="B149" s="309"/>
      <c r="C149" s="309"/>
      <c r="D149" s="192">
        <v>1</v>
      </c>
      <c r="E149" s="193">
        <f>(D149*5%)+D149</f>
        <v>1.05</v>
      </c>
      <c r="F149" s="193">
        <f t="shared" ref="F149:J149" si="24">(E149*5%)+E149</f>
        <v>1.1025</v>
      </c>
      <c r="G149" s="193">
        <f t="shared" si="24"/>
        <v>1.1576250000000001</v>
      </c>
      <c r="H149" s="193">
        <f t="shared" si="24"/>
        <v>1.2155062500000002</v>
      </c>
      <c r="I149" s="193">
        <f t="shared" si="24"/>
        <v>1.2762815625000004</v>
      </c>
      <c r="J149" s="193">
        <f t="shared" si="24"/>
        <v>1.3400956406250004</v>
      </c>
    </row>
    <row r="150" spans="1:10">
      <c r="A150" s="93"/>
      <c r="B150" s="93"/>
      <c r="C150" s="93"/>
      <c r="D150" s="93"/>
      <c r="E150" s="93"/>
      <c r="F150" s="93"/>
      <c r="G150" s="93"/>
      <c r="H150" s="93"/>
      <c r="I150" s="93"/>
      <c r="J150" s="93"/>
    </row>
    <row r="151" spans="1:10">
      <c r="A151" s="147" t="s">
        <v>0</v>
      </c>
      <c r="B151" s="147" t="s">
        <v>132</v>
      </c>
      <c r="C151" s="147" t="s">
        <v>151</v>
      </c>
      <c r="D151" s="119" t="s">
        <v>2</v>
      </c>
      <c r="E151" s="119" t="s">
        <v>3</v>
      </c>
      <c r="F151" s="119" t="s">
        <v>4</v>
      </c>
      <c r="G151" s="119" t="s">
        <v>5</v>
      </c>
      <c r="H151" s="119" t="s">
        <v>6</v>
      </c>
      <c r="I151" s="119" t="s">
        <v>167</v>
      </c>
      <c r="J151" s="119" t="s">
        <v>166</v>
      </c>
    </row>
    <row r="152" spans="1:10">
      <c r="A152" s="94"/>
      <c r="B152" s="94"/>
      <c r="C152" s="94"/>
      <c r="D152" s="94"/>
      <c r="E152" s="94"/>
      <c r="F152" s="94"/>
      <c r="G152" s="94"/>
      <c r="H152" s="94"/>
      <c r="I152" s="94"/>
      <c r="J152" s="94"/>
    </row>
    <row r="153" spans="1:10">
      <c r="A153" s="96" t="s">
        <v>127</v>
      </c>
      <c r="B153" s="96"/>
      <c r="C153" s="96"/>
      <c r="D153" s="113"/>
      <c r="E153" s="113"/>
      <c r="F153" s="113"/>
      <c r="G153" s="113"/>
      <c r="H153" s="113"/>
      <c r="I153" s="94"/>
      <c r="J153" s="94"/>
    </row>
    <row r="154" spans="1:10">
      <c r="A154" s="94" t="str">
        <f>A124</f>
        <v>Pomegranate Arils</v>
      </c>
      <c r="B154" s="229" t="s">
        <v>524</v>
      </c>
      <c r="C154" s="229">
        <v>150</v>
      </c>
      <c r="D154" s="95">
        <f>(B141*(1-'5.Closing Stock &amp; W Capital'!$D$17)*$C154*D$149)</f>
        <v>0</v>
      </c>
      <c r="E154" s="95">
        <f>(((C141*(1-'5.Closing Stock &amp; W Capital'!$D$17))+(B141*'5.Closing Stock &amp; W Capital'!$D$17))*$C154*E$149)</f>
        <v>0</v>
      </c>
      <c r="F154" s="95">
        <f>(((D141*(1-'5.Closing Stock &amp; W Capital'!$D$17))+(C141*'5.Closing Stock &amp; W Capital'!$D$17))*$C154*F$149)</f>
        <v>0</v>
      </c>
      <c r="G154" s="95">
        <f>(((E141*(1-'5.Closing Stock &amp; W Capital'!$D$17))+(D141*'5.Closing Stock &amp; W Capital'!$D$17))*$C154*G$149)</f>
        <v>0</v>
      </c>
      <c r="H154" s="95">
        <f>(((F141*(1-'5.Closing Stock &amp; W Capital'!$D$17))+(E141*'5.Closing Stock &amp; W Capital'!$D$17))*$C154*H$149)</f>
        <v>0</v>
      </c>
      <c r="I154" s="95">
        <f>(((G141*(1-'5.Closing Stock &amp; W Capital'!$D$17))+(F141*'5.Closing Stock &amp; W Capital'!$D$17))*$C154*I$149)</f>
        <v>0</v>
      </c>
      <c r="J154" s="95">
        <f>(((H141*(1-'5.Closing Stock &amp; W Capital'!$D$17))+(G141*'5.Closing Stock &amp; W Capital'!$D$17))*$C154*J$149)</f>
        <v>0</v>
      </c>
    </row>
    <row r="155" spans="1:10">
      <c r="A155" s="94" t="str">
        <f>A125</f>
        <v>Pomegranate Juice</v>
      </c>
      <c r="B155" s="229" t="s">
        <v>523</v>
      </c>
      <c r="C155" s="229">
        <v>40</v>
      </c>
      <c r="D155" s="95">
        <f>(B142*(1-'5.Closing Stock &amp; W Capital'!$D$17)*$C155*D$149)</f>
        <v>0</v>
      </c>
      <c r="E155" s="95">
        <f>(((C142*(1-'5.Closing Stock &amp; W Capital'!$D$17))+(B142*'5.Closing Stock &amp; W Capital'!$D$17))*$C155*E$149)</f>
        <v>0</v>
      </c>
      <c r="F155" s="95">
        <f>(((D142*(1-'5.Closing Stock &amp; W Capital'!$D$17))+(C142*'5.Closing Stock &amp; W Capital'!$D$17))*$C155*F$149)</f>
        <v>0</v>
      </c>
      <c r="G155" s="95">
        <f>(((E142*(1-'5.Closing Stock &amp; W Capital'!$D$17))+(D142*'5.Closing Stock &amp; W Capital'!$D$17))*$C155*G$149)</f>
        <v>0</v>
      </c>
      <c r="H155" s="95">
        <f>(((F142*(1-'5.Closing Stock &amp; W Capital'!$D$17))+(E142*'5.Closing Stock &amp; W Capital'!$D$17))*$C155*H$149)</f>
        <v>0</v>
      </c>
      <c r="I155" s="95">
        <f>(((G142*(1-'5.Closing Stock &amp; W Capital'!$D$17))+(F142*'5.Closing Stock &amp; W Capital'!$D$17))*$C155*I$149)</f>
        <v>0</v>
      </c>
      <c r="J155" s="95">
        <f>(((H142*(1-'5.Closing Stock &amp; W Capital'!$D$17))+(G142*'5.Closing Stock &amp; W Capital'!$D$17))*$C155*J$149)</f>
        <v>0</v>
      </c>
    </row>
    <row r="156" spans="1:10">
      <c r="A156" s="94" t="str">
        <f>A126</f>
        <v>Pomegranate Powder</v>
      </c>
      <c r="B156" s="229" t="s">
        <v>360</v>
      </c>
      <c r="C156" s="229">
        <v>50</v>
      </c>
      <c r="D156" s="95">
        <f>(B143*(1-'5.Closing Stock &amp; W Capital'!$D$17)*$C156*D$149)</f>
        <v>0</v>
      </c>
      <c r="E156" s="95">
        <f>(((C143*(1-'5.Closing Stock &amp; W Capital'!$D$17))+(B143*'5.Closing Stock &amp; W Capital'!$D$17))*$C156*E$149)</f>
        <v>0</v>
      </c>
      <c r="F156" s="95">
        <f>(((D143*(1-'5.Closing Stock &amp; W Capital'!$D$17))+(C143*'5.Closing Stock &amp; W Capital'!$D$17))*$C156*F$149)</f>
        <v>0</v>
      </c>
      <c r="G156" s="95">
        <f>(((E143*(1-'5.Closing Stock &amp; W Capital'!$D$17))+(D143*'5.Closing Stock &amp; W Capital'!$D$17))*$C156*G$149)</f>
        <v>0</v>
      </c>
      <c r="H156" s="95">
        <f>(((F143*(1-'5.Closing Stock &amp; W Capital'!$D$17))+(E143*'5.Closing Stock &amp; W Capital'!$D$17))*$C156*H$149)</f>
        <v>0</v>
      </c>
      <c r="I156" s="95">
        <f>(((G143*(1-'5.Closing Stock &amp; W Capital'!$D$17))+(F143*'5.Closing Stock &amp; W Capital'!$D$17))*$C156*I$149)</f>
        <v>0</v>
      </c>
      <c r="J156" s="95">
        <f>(((H143*(1-'5.Closing Stock &amp; W Capital'!$D$17))+(G143*'5.Closing Stock &amp; W Capital'!$D$17))*$C156*J$149)</f>
        <v>0</v>
      </c>
    </row>
    <row r="157" spans="1:10">
      <c r="A157" s="94"/>
      <c r="B157" s="229"/>
      <c r="C157" s="229"/>
      <c r="D157" s="95"/>
      <c r="E157" s="95"/>
      <c r="F157" s="95"/>
      <c r="G157" s="95"/>
      <c r="H157" s="95"/>
      <c r="I157" s="95"/>
      <c r="J157" s="95"/>
    </row>
    <row r="158" spans="1:10">
      <c r="A158" s="94"/>
      <c r="B158" s="94"/>
      <c r="C158" s="94"/>
      <c r="D158" s="95"/>
      <c r="E158" s="95"/>
      <c r="F158" s="95"/>
      <c r="G158" s="95"/>
      <c r="H158" s="95"/>
      <c r="I158" s="95"/>
      <c r="J158" s="95"/>
    </row>
    <row r="159" spans="1:10">
      <c r="A159" s="96" t="s">
        <v>127</v>
      </c>
      <c r="B159" s="96"/>
      <c r="C159" s="96"/>
      <c r="D159" s="114">
        <f t="shared" ref="D159:J159" si="25">SUM(D154:D157)</f>
        <v>0</v>
      </c>
      <c r="E159" s="114">
        <f t="shared" si="25"/>
        <v>0</v>
      </c>
      <c r="F159" s="114">
        <f t="shared" si="25"/>
        <v>0</v>
      </c>
      <c r="G159" s="114">
        <f t="shared" si="25"/>
        <v>0</v>
      </c>
      <c r="H159" s="114">
        <f t="shared" si="25"/>
        <v>0</v>
      </c>
      <c r="I159" s="114">
        <f t="shared" si="25"/>
        <v>0</v>
      </c>
      <c r="J159" s="114">
        <f t="shared" si="25"/>
        <v>0</v>
      </c>
    </row>
    <row r="160" spans="1:10">
      <c r="A160" s="94"/>
      <c r="B160" s="94"/>
      <c r="C160" s="94"/>
      <c r="D160" s="95"/>
      <c r="E160" s="95"/>
      <c r="F160" s="95"/>
      <c r="G160" s="95"/>
      <c r="H160" s="95"/>
      <c r="I160" s="95"/>
      <c r="J160" s="95"/>
    </row>
    <row r="161" spans="1:10">
      <c r="A161" s="96" t="s">
        <v>141</v>
      </c>
      <c r="B161" s="96"/>
      <c r="C161" s="96"/>
      <c r="D161" s="95"/>
      <c r="E161" s="95"/>
      <c r="F161" s="95"/>
      <c r="G161" s="95"/>
      <c r="H161" s="95"/>
      <c r="I161" s="95"/>
      <c r="J161" s="95"/>
    </row>
    <row r="162" spans="1:10">
      <c r="A162" s="96" t="s">
        <v>312</v>
      </c>
      <c r="B162" s="96"/>
      <c r="C162" s="94"/>
      <c r="D162" s="95"/>
      <c r="E162" s="95"/>
      <c r="F162" s="95"/>
      <c r="G162" s="95"/>
      <c r="H162" s="95"/>
      <c r="I162" s="95"/>
      <c r="J162" s="95"/>
    </row>
    <row r="163" spans="1:10">
      <c r="A163" s="98" t="s">
        <v>528</v>
      </c>
      <c r="B163" s="229" t="s">
        <v>361</v>
      </c>
      <c r="C163" s="247">
        <v>0</v>
      </c>
      <c r="D163" s="95">
        <f>B62*$C163*D$149</f>
        <v>0</v>
      </c>
      <c r="E163" s="95">
        <f>C62*$C163*E$149</f>
        <v>0</v>
      </c>
      <c r="F163" s="95">
        <f t="shared" ref="F163:J163" si="26">D62*$C163*F$149</f>
        <v>0</v>
      </c>
      <c r="G163" s="95">
        <f t="shared" si="26"/>
        <v>0</v>
      </c>
      <c r="H163" s="95">
        <f t="shared" si="26"/>
        <v>0</v>
      </c>
      <c r="I163" s="95">
        <f t="shared" si="26"/>
        <v>0</v>
      </c>
      <c r="J163" s="95">
        <f t="shared" si="26"/>
        <v>0</v>
      </c>
    </row>
    <row r="164" spans="1:10">
      <c r="A164" s="94" t="s">
        <v>529</v>
      </c>
      <c r="B164" s="229" t="s">
        <v>361</v>
      </c>
      <c r="C164" s="229">
        <v>0</v>
      </c>
      <c r="D164" s="95">
        <f>(B62*10%)*$C164*D$149</f>
        <v>0</v>
      </c>
      <c r="E164" s="95">
        <f t="shared" ref="E164:J164" si="27">(C62*10%)*$C164*E$149</f>
        <v>0</v>
      </c>
      <c r="F164" s="95">
        <f t="shared" si="27"/>
        <v>0</v>
      </c>
      <c r="G164" s="95">
        <f t="shared" si="27"/>
        <v>0</v>
      </c>
      <c r="H164" s="95">
        <f t="shared" si="27"/>
        <v>0</v>
      </c>
      <c r="I164" s="95">
        <f t="shared" si="27"/>
        <v>0</v>
      </c>
      <c r="J164" s="95">
        <f t="shared" si="27"/>
        <v>0</v>
      </c>
    </row>
    <row r="165" spans="1:10">
      <c r="A165" s="94" t="s">
        <v>318</v>
      </c>
      <c r="B165" s="229">
        <v>5</v>
      </c>
      <c r="C165" s="229">
        <v>0</v>
      </c>
      <c r="D165" s="95">
        <f t="shared" ref="D165:J165" si="28">B12*$B$165*$C$165*D149</f>
        <v>0</v>
      </c>
      <c r="E165" s="95">
        <f t="shared" si="28"/>
        <v>0</v>
      </c>
      <c r="F165" s="95">
        <f t="shared" si="28"/>
        <v>0</v>
      </c>
      <c r="G165" s="95">
        <f t="shared" si="28"/>
        <v>0</v>
      </c>
      <c r="H165" s="95">
        <f t="shared" si="28"/>
        <v>0</v>
      </c>
      <c r="I165" s="95">
        <f t="shared" si="28"/>
        <v>0</v>
      </c>
      <c r="J165" s="95">
        <f t="shared" si="28"/>
        <v>0</v>
      </c>
    </row>
    <row r="166" spans="1:10">
      <c r="A166" s="94" t="s">
        <v>143</v>
      </c>
      <c r="B166" s="94">
        <f>'2.Capex Details'!H67*0.746*8</f>
        <v>0</v>
      </c>
      <c r="C166" s="229">
        <v>0</v>
      </c>
      <c r="D166" s="95">
        <f t="shared" ref="D166:J166" si="29">$B$166*$C$166*B12*D149</f>
        <v>0</v>
      </c>
      <c r="E166" s="95">
        <f t="shared" si="29"/>
        <v>0</v>
      </c>
      <c r="F166" s="95">
        <f t="shared" si="29"/>
        <v>0</v>
      </c>
      <c r="G166" s="95">
        <f t="shared" si="29"/>
        <v>0</v>
      </c>
      <c r="H166" s="95">
        <f t="shared" si="29"/>
        <v>0</v>
      </c>
      <c r="I166" s="95">
        <f t="shared" si="29"/>
        <v>0</v>
      </c>
      <c r="J166" s="95">
        <f t="shared" si="29"/>
        <v>0</v>
      </c>
    </row>
    <row r="167" spans="1:10">
      <c r="A167" s="94" t="s">
        <v>295</v>
      </c>
      <c r="B167" s="94" t="s">
        <v>361</v>
      </c>
      <c r="C167" s="229">
        <v>0</v>
      </c>
      <c r="D167" s="95">
        <f>B62*$C167*D$149</f>
        <v>0</v>
      </c>
      <c r="E167" s="95">
        <f t="shared" ref="E167:J167" si="30">C62*$C167*E$149</f>
        <v>0</v>
      </c>
      <c r="F167" s="95">
        <f t="shared" si="30"/>
        <v>0</v>
      </c>
      <c r="G167" s="95">
        <f t="shared" si="30"/>
        <v>0</v>
      </c>
      <c r="H167" s="95">
        <f t="shared" si="30"/>
        <v>0</v>
      </c>
      <c r="I167" s="95">
        <f t="shared" si="30"/>
        <v>0</v>
      </c>
      <c r="J167" s="95">
        <f t="shared" si="30"/>
        <v>0</v>
      </c>
    </row>
    <row r="168" spans="1:10">
      <c r="A168" s="108" t="s">
        <v>296</v>
      </c>
      <c r="B168" s="108"/>
      <c r="C168" s="248">
        <v>0</v>
      </c>
      <c r="D168" s="95">
        <f>SUM(B141:B143)*$C$168*D$149</f>
        <v>0</v>
      </c>
      <c r="E168" s="95">
        <f t="shared" ref="E168:J168" si="31">SUM(C141:C143)*$C$168*E$149</f>
        <v>0</v>
      </c>
      <c r="F168" s="95">
        <f t="shared" si="31"/>
        <v>0</v>
      </c>
      <c r="G168" s="95">
        <f t="shared" si="31"/>
        <v>0</v>
      </c>
      <c r="H168" s="95">
        <f t="shared" si="31"/>
        <v>0</v>
      </c>
      <c r="I168" s="95">
        <f t="shared" si="31"/>
        <v>0</v>
      </c>
      <c r="J168" s="95">
        <f t="shared" si="31"/>
        <v>0</v>
      </c>
    </row>
    <row r="169" spans="1:10">
      <c r="A169" s="94" t="s">
        <v>297</v>
      </c>
      <c r="B169" s="94"/>
      <c r="C169" s="229">
        <v>0</v>
      </c>
      <c r="D169" s="95">
        <f>SUM(B141:B143)*$C$169*D$149</f>
        <v>0</v>
      </c>
      <c r="E169" s="95">
        <f t="shared" ref="E169:J169" si="32">SUM(C141:C143)*$C$169*E$149</f>
        <v>0</v>
      </c>
      <c r="F169" s="95">
        <f t="shared" si="32"/>
        <v>0</v>
      </c>
      <c r="G169" s="95">
        <f t="shared" si="32"/>
        <v>0</v>
      </c>
      <c r="H169" s="95">
        <f t="shared" si="32"/>
        <v>0</v>
      </c>
      <c r="I169" s="95">
        <f t="shared" si="32"/>
        <v>0</v>
      </c>
      <c r="J169" s="95">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4" t="s">
        <v>341</v>
      </c>
      <c r="B174" s="95"/>
      <c r="C174" s="95"/>
      <c r="D174" s="95"/>
      <c r="E174" s="95">
        <v>0</v>
      </c>
      <c r="F174" s="95">
        <v>0</v>
      </c>
      <c r="G174" s="95">
        <v>0</v>
      </c>
      <c r="H174" s="95">
        <v>0</v>
      </c>
      <c r="I174" s="95">
        <v>0</v>
      </c>
      <c r="J174" s="95">
        <v>0</v>
      </c>
    </row>
    <row r="175" spans="1:10">
      <c r="A175" s="194" t="s">
        <v>342</v>
      </c>
      <c r="B175" s="95"/>
      <c r="C175" s="95"/>
      <c r="D175" s="95">
        <v>0</v>
      </c>
      <c r="E175" s="95">
        <v>0</v>
      </c>
      <c r="F175" s="95">
        <v>0</v>
      </c>
      <c r="G175" s="95">
        <v>0</v>
      </c>
      <c r="H175" s="95">
        <v>0</v>
      </c>
      <c r="I175" s="95">
        <v>0</v>
      </c>
      <c r="J175" s="95">
        <v>0</v>
      </c>
    </row>
    <row r="176" spans="1:10">
      <c r="A176" s="95"/>
      <c r="B176" s="95"/>
      <c r="C176" s="95"/>
      <c r="D176" s="95"/>
      <c r="E176" s="95"/>
      <c r="F176" s="95"/>
      <c r="G176" s="95"/>
      <c r="H176" s="95"/>
      <c r="I176" s="95"/>
      <c r="J176" s="95"/>
    </row>
    <row r="177" spans="1:10">
      <c r="A177" s="114" t="s">
        <v>319</v>
      </c>
      <c r="B177" s="95"/>
      <c r="C177" s="95"/>
      <c r="D177" s="114">
        <f t="shared" ref="D177:J177" si="33">SUM(D163:D174)-D175</f>
        <v>0</v>
      </c>
      <c r="E177" s="114">
        <f t="shared" si="33"/>
        <v>0</v>
      </c>
      <c r="F177" s="114">
        <f t="shared" si="33"/>
        <v>0</v>
      </c>
      <c r="G177" s="114">
        <f t="shared" si="33"/>
        <v>0</v>
      </c>
      <c r="H177" s="114">
        <f t="shared" si="33"/>
        <v>0</v>
      </c>
      <c r="I177" s="114">
        <f t="shared" si="33"/>
        <v>0</v>
      </c>
      <c r="J177" s="114">
        <f t="shared" si="33"/>
        <v>0</v>
      </c>
    </row>
    <row r="178" spans="1:10">
      <c r="A178" s="93"/>
      <c r="B178" s="93"/>
      <c r="C178" s="93"/>
      <c r="D178" s="93"/>
      <c r="E178" s="93"/>
      <c r="F178" s="93"/>
      <c r="G178" s="93"/>
      <c r="H178" s="93"/>
      <c r="I178" s="93"/>
      <c r="J178" s="93"/>
    </row>
    <row r="179" spans="1:10">
      <c r="A179" s="195" t="s">
        <v>310</v>
      </c>
      <c r="B179" s="195"/>
      <c r="C179" s="195"/>
      <c r="D179" s="114"/>
      <c r="E179" s="114"/>
      <c r="F179" s="114"/>
      <c r="G179" s="114"/>
      <c r="H179" s="114"/>
      <c r="I179" s="114"/>
      <c r="J179" s="114"/>
    </row>
    <row r="180" spans="1:10">
      <c r="A180" s="94" t="s">
        <v>186</v>
      </c>
      <c r="B180" s="229">
        <v>1</v>
      </c>
      <c r="C180" s="247"/>
      <c r="D180" s="95">
        <f t="shared" ref="D180:J180" si="34">$B$180*$C$180*12*D149</f>
        <v>0</v>
      </c>
      <c r="E180" s="95">
        <f t="shared" si="34"/>
        <v>0</v>
      </c>
      <c r="F180" s="95">
        <f t="shared" si="34"/>
        <v>0</v>
      </c>
      <c r="G180" s="95">
        <f t="shared" si="34"/>
        <v>0</v>
      </c>
      <c r="H180" s="95">
        <f t="shared" si="34"/>
        <v>0</v>
      </c>
      <c r="I180" s="95">
        <f t="shared" si="34"/>
        <v>0</v>
      </c>
      <c r="J180" s="95">
        <f t="shared" si="34"/>
        <v>0</v>
      </c>
    </row>
    <row r="181" spans="1:10">
      <c r="A181" s="94" t="s">
        <v>191</v>
      </c>
      <c r="B181" s="229">
        <v>2</v>
      </c>
      <c r="C181" s="247"/>
      <c r="D181" s="95">
        <f t="shared" ref="D181:J181" si="35">$B$181*$C$181*12*D149</f>
        <v>0</v>
      </c>
      <c r="E181" s="95">
        <f t="shared" si="35"/>
        <v>0</v>
      </c>
      <c r="F181" s="95">
        <f t="shared" si="35"/>
        <v>0</v>
      </c>
      <c r="G181" s="95">
        <f t="shared" si="35"/>
        <v>0</v>
      </c>
      <c r="H181" s="95">
        <f t="shared" si="35"/>
        <v>0</v>
      </c>
      <c r="I181" s="95">
        <f t="shared" si="35"/>
        <v>0</v>
      </c>
      <c r="J181" s="95">
        <f t="shared" si="35"/>
        <v>0</v>
      </c>
    </row>
    <row r="182" spans="1:10">
      <c r="A182" s="94"/>
      <c r="B182" s="229"/>
      <c r="C182" s="247"/>
      <c r="D182" s="95"/>
      <c r="E182" s="95"/>
      <c r="F182" s="95"/>
      <c r="G182" s="95"/>
      <c r="H182" s="95"/>
      <c r="I182" s="95"/>
      <c r="J182" s="95"/>
    </row>
    <row r="183" spans="1:10">
      <c r="A183" s="94"/>
      <c r="B183" s="229"/>
      <c r="C183" s="247"/>
      <c r="D183" s="95"/>
      <c r="E183" s="95"/>
      <c r="F183" s="95"/>
      <c r="G183" s="95"/>
      <c r="H183" s="95"/>
      <c r="I183" s="95"/>
      <c r="J183" s="95"/>
    </row>
    <row r="184" spans="1:10">
      <c r="A184" s="94"/>
      <c r="B184" s="229"/>
      <c r="C184" s="247"/>
      <c r="D184" s="95"/>
      <c r="E184" s="95"/>
      <c r="F184" s="95"/>
      <c r="G184" s="95"/>
      <c r="H184" s="95"/>
      <c r="I184" s="95"/>
      <c r="J184" s="95"/>
    </row>
    <row r="185" spans="1:10">
      <c r="A185" s="96" t="s">
        <v>310</v>
      </c>
      <c r="B185" s="96"/>
      <c r="C185" s="96"/>
      <c r="D185" s="114">
        <f>SUM(D180:D184)</f>
        <v>0</v>
      </c>
      <c r="E185" s="114">
        <f t="shared" ref="E185:J185" si="36">SUM(E180:E184)</f>
        <v>0</v>
      </c>
      <c r="F185" s="114">
        <f t="shared" si="36"/>
        <v>0</v>
      </c>
      <c r="G185" s="114">
        <f t="shared" si="36"/>
        <v>0</v>
      </c>
      <c r="H185" s="114">
        <f t="shared" si="36"/>
        <v>0</v>
      </c>
      <c r="I185" s="114">
        <f t="shared" si="36"/>
        <v>0</v>
      </c>
      <c r="J185" s="114">
        <f t="shared" si="36"/>
        <v>0</v>
      </c>
    </row>
    <row r="186" spans="1:10">
      <c r="A186" s="195" t="s">
        <v>298</v>
      </c>
      <c r="B186" s="195"/>
      <c r="C186" s="195"/>
      <c r="D186" s="114">
        <f>D177+D185</f>
        <v>0</v>
      </c>
      <c r="E186" s="114">
        <f t="shared" ref="E186:J186" si="37">E177+E185</f>
        <v>0</v>
      </c>
      <c r="F186" s="114">
        <f t="shared" si="37"/>
        <v>0</v>
      </c>
      <c r="G186" s="114">
        <f t="shared" si="37"/>
        <v>0</v>
      </c>
      <c r="H186" s="114">
        <f t="shared" si="37"/>
        <v>0</v>
      </c>
      <c r="I186" s="114">
        <f t="shared" si="37"/>
        <v>0</v>
      </c>
      <c r="J186" s="114">
        <f t="shared" si="37"/>
        <v>0</v>
      </c>
    </row>
    <row r="187" spans="1:10">
      <c r="A187" s="94"/>
      <c r="B187" s="94"/>
      <c r="C187" s="94"/>
      <c r="D187" s="95"/>
      <c r="E187" s="95"/>
      <c r="F187" s="95"/>
      <c r="G187" s="95"/>
      <c r="H187" s="95"/>
      <c r="I187" s="95"/>
      <c r="J187" s="95"/>
    </row>
    <row r="188" spans="1:10">
      <c r="A188" s="96" t="s">
        <v>7</v>
      </c>
      <c r="B188" s="96"/>
      <c r="C188" s="96"/>
      <c r="D188" s="114">
        <f t="shared" ref="D188:J188" si="38">D159-D186</f>
        <v>0</v>
      </c>
      <c r="E188" s="114">
        <f t="shared" si="38"/>
        <v>0</v>
      </c>
      <c r="F188" s="114">
        <f t="shared" si="38"/>
        <v>0</v>
      </c>
      <c r="G188" s="114">
        <f t="shared" si="38"/>
        <v>0</v>
      </c>
      <c r="H188" s="114">
        <f t="shared" si="38"/>
        <v>0</v>
      </c>
      <c r="I188" s="114">
        <f t="shared" si="38"/>
        <v>0</v>
      </c>
      <c r="J188" s="114">
        <f t="shared" si="38"/>
        <v>0</v>
      </c>
    </row>
    <row r="189" spans="1:10">
      <c r="A189" s="115"/>
      <c r="B189" s="115"/>
      <c r="C189" s="115"/>
      <c r="D189" s="93"/>
      <c r="E189" s="93"/>
      <c r="F189" s="93"/>
      <c r="G189" s="93"/>
      <c r="H189" s="93"/>
      <c r="I189" s="93"/>
      <c r="J189" s="93"/>
    </row>
    <row r="190" spans="1:10">
      <c r="A190" s="93"/>
      <c r="B190" s="93"/>
      <c r="C190" s="93"/>
      <c r="D190" s="93"/>
      <c r="E190" s="93"/>
      <c r="F190" s="93"/>
      <c r="G190" s="93"/>
      <c r="H190" s="93"/>
      <c r="I190" s="93"/>
      <c r="J190" s="93"/>
    </row>
    <row r="191" spans="1:10">
      <c r="A191" s="93"/>
      <c r="B191" s="93"/>
      <c r="C191" s="93"/>
      <c r="D191" s="93"/>
      <c r="E191" s="93"/>
      <c r="F191" s="93"/>
      <c r="G191" s="93"/>
      <c r="H191" s="93"/>
      <c r="I191" s="93"/>
      <c r="J191" s="93"/>
    </row>
    <row r="192" spans="1:10">
      <c r="A192" s="413" t="s">
        <v>423</v>
      </c>
      <c r="B192" s="413"/>
      <c r="C192" s="413"/>
      <c r="D192" s="413"/>
      <c r="E192" s="413"/>
      <c r="F192" s="413"/>
      <c r="G192" s="413"/>
      <c r="H192" s="413"/>
      <c r="I192" s="413"/>
      <c r="J192" s="413"/>
    </row>
    <row r="194" spans="1:5">
      <c r="A194" t="s">
        <v>536</v>
      </c>
    </row>
    <row r="195" spans="1:5">
      <c r="A195">
        <v>1</v>
      </c>
      <c r="B195" t="s">
        <v>547</v>
      </c>
    </row>
    <row r="196" spans="1:5">
      <c r="A196">
        <v>2</v>
      </c>
      <c r="B196" t="s">
        <v>548</v>
      </c>
      <c r="C196" s="67"/>
      <c r="D196" s="67"/>
      <c r="E196" s="67"/>
    </row>
    <row r="197" spans="1:5">
      <c r="A197">
        <v>3</v>
      </c>
      <c r="B197" s="93" t="s">
        <v>588</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view="pageBreakPreview" zoomScaleSheetLayoutView="100" workbookViewId="0">
      <selection activeCell="B4" sqref="B4:F4"/>
    </sheetView>
  </sheetViews>
  <sheetFormatPr defaultRowHeight="15"/>
  <cols>
    <col min="2" max="2" width="7.5703125" bestFit="1" customWidth="1"/>
    <col min="3" max="3" width="35.42578125" customWidth="1"/>
    <col min="4" max="4" width="16" customWidth="1"/>
    <col min="5" max="5" width="17.7109375" customWidth="1"/>
    <col min="6" max="6" width="17.85546875" customWidth="1"/>
  </cols>
  <sheetData>
    <row r="2" spans="1:13" ht="26.25">
      <c r="B2" s="389" t="s">
        <v>702</v>
      </c>
    </row>
    <row r="3" spans="1:13" ht="18.75">
      <c r="B3" s="412" t="s">
        <v>703</v>
      </c>
      <c r="C3" s="412"/>
      <c r="D3" s="412"/>
      <c r="E3" s="412"/>
      <c r="F3" s="412"/>
    </row>
    <row r="4" spans="1:13" ht="21">
      <c r="B4" s="416" t="s">
        <v>723</v>
      </c>
      <c r="C4" s="416"/>
      <c r="D4" s="416"/>
      <c r="E4" s="416"/>
      <c r="F4" s="416"/>
    </row>
    <row r="5" spans="1:13">
      <c r="B5" s="334" t="s">
        <v>144</v>
      </c>
      <c r="C5" s="334" t="s">
        <v>128</v>
      </c>
      <c r="D5" s="334" t="s">
        <v>156</v>
      </c>
      <c r="E5" s="339" t="s">
        <v>468</v>
      </c>
      <c r="F5" s="339" t="s">
        <v>469</v>
      </c>
    </row>
    <row r="6" spans="1:13">
      <c r="B6" s="335">
        <v>1</v>
      </c>
      <c r="C6" s="336" t="str">
        <f>'2.Capex Details'!B2</f>
        <v>Land, Building, Shed and Warehouse</v>
      </c>
      <c r="D6" s="340">
        <f>'2.Capex Details'!G12</f>
        <v>500000</v>
      </c>
      <c r="E6" s="341">
        <v>0.6</v>
      </c>
      <c r="F6" s="342">
        <f>D6*E6</f>
        <v>300000</v>
      </c>
    </row>
    <row r="7" spans="1:13">
      <c r="B7" s="335">
        <v>2</v>
      </c>
      <c r="C7" s="336" t="str">
        <f>'2.Capex Details'!B17</f>
        <v>Machinery and Equipment</v>
      </c>
      <c r="D7" s="340">
        <f>'2.Capex Details'!G69</f>
        <v>1000000.44</v>
      </c>
      <c r="E7" s="341">
        <v>0.6</v>
      </c>
      <c r="F7" s="342">
        <f t="shared" ref="F7:F11" si="0">D7*E7</f>
        <v>600000.26399999997</v>
      </c>
    </row>
    <row r="8" spans="1:13">
      <c r="B8" s="335">
        <v>3</v>
      </c>
      <c r="C8" s="336" t="str">
        <f>'2.Capex Details'!B84</f>
        <v>Furniture and Fixture</v>
      </c>
      <c r="D8" s="340">
        <f>'2.Capex Details'!F92</f>
        <v>10000</v>
      </c>
      <c r="E8" s="341">
        <v>0.6</v>
      </c>
      <c r="F8" s="342">
        <f t="shared" si="0"/>
        <v>6000</v>
      </c>
    </row>
    <row r="9" spans="1:13">
      <c r="B9" s="335">
        <v>4</v>
      </c>
      <c r="C9" s="336" t="str">
        <f>'2.Capex Details'!B96</f>
        <v>IT &amp; It Infrastracture</v>
      </c>
      <c r="D9" s="340">
        <f>'2.Capex Details'!F105</f>
        <v>10000</v>
      </c>
      <c r="E9" s="341">
        <v>0.6</v>
      </c>
      <c r="F9" s="342">
        <f t="shared" si="0"/>
        <v>6000</v>
      </c>
    </row>
    <row r="10" spans="1:13">
      <c r="B10" s="335">
        <v>5</v>
      </c>
      <c r="C10" s="336" t="str">
        <f>'2.Capex Details'!B110</f>
        <v>Transport vehical  (Refer van and other)</v>
      </c>
      <c r="D10" s="340">
        <f>'2.Capex Details'!F116</f>
        <v>0</v>
      </c>
      <c r="E10" s="341">
        <v>0.6</v>
      </c>
      <c r="F10" s="342">
        <f t="shared" si="0"/>
        <v>0</v>
      </c>
    </row>
    <row r="11" spans="1:13">
      <c r="B11" s="335">
        <v>6</v>
      </c>
      <c r="C11" s="336" t="str">
        <f>'2.Capex Details'!B118</f>
        <v>Preliminary Expenses</v>
      </c>
      <c r="D11" s="340">
        <f>'2.Capex Details'!D125</f>
        <v>55000</v>
      </c>
      <c r="E11" s="341">
        <v>0.6</v>
      </c>
      <c r="F11" s="342">
        <f t="shared" si="0"/>
        <v>33000</v>
      </c>
      <c r="L11" t="s">
        <v>415</v>
      </c>
    </row>
    <row r="12" spans="1:13">
      <c r="B12" s="335">
        <v>7</v>
      </c>
      <c r="C12" s="336" t="s">
        <v>154</v>
      </c>
      <c r="D12" s="340">
        <f>'5.Closing Stock &amp; W Capital'!E51</f>
        <v>3851660.3283960624</v>
      </c>
      <c r="E12" s="343"/>
      <c r="F12" s="343"/>
    </row>
    <row r="13" spans="1:13">
      <c r="B13" s="411" t="s">
        <v>1</v>
      </c>
      <c r="C13" s="411"/>
      <c r="D13" s="344">
        <f>SUM(D6:D12)</f>
        <v>5426660.7683960628</v>
      </c>
      <c r="E13" s="343"/>
      <c r="F13" s="344">
        <f>SUM(F6:F12)</f>
        <v>945000.26399999997</v>
      </c>
    </row>
    <row r="14" spans="1:13">
      <c r="D14" s="22"/>
      <c r="M14">
        <v>48</v>
      </c>
    </row>
    <row r="15" spans="1:13" ht="25.5" customHeight="1">
      <c r="A15" s="414" t="s">
        <v>416</v>
      </c>
      <c r="B15" s="414"/>
      <c r="C15" s="414"/>
      <c r="D15" s="414"/>
      <c r="E15" s="414"/>
      <c r="F15" s="414"/>
      <c r="M15">
        <v>11.64</v>
      </c>
    </row>
    <row r="16" spans="1:13">
      <c r="M16">
        <f>M14+M15</f>
        <v>59.64</v>
      </c>
    </row>
    <row r="17" spans="2:13" ht="18.75">
      <c r="B17" s="412" t="s">
        <v>704</v>
      </c>
      <c r="C17" s="412"/>
      <c r="D17" s="412"/>
      <c r="E17" s="412"/>
      <c r="F17" s="209"/>
      <c r="M17">
        <v>19.05</v>
      </c>
    </row>
    <row r="18" spans="2:13">
      <c r="M18">
        <f>M16+M17</f>
        <v>78.69</v>
      </c>
    </row>
    <row r="19" spans="2:13">
      <c r="B19" s="333" t="s">
        <v>144</v>
      </c>
      <c r="C19" s="334" t="s">
        <v>128</v>
      </c>
      <c r="D19" s="334" t="s">
        <v>635</v>
      </c>
      <c r="E19" s="334" t="s">
        <v>156</v>
      </c>
    </row>
    <row r="20" spans="2:13">
      <c r="B20" s="335">
        <v>1</v>
      </c>
      <c r="C20" s="336" t="s">
        <v>331</v>
      </c>
      <c r="D20" s="372"/>
      <c r="E20" s="337">
        <f>F13</f>
        <v>945000.26399999997</v>
      </c>
    </row>
    <row r="21" spans="2:13">
      <c r="B21" s="335">
        <v>2</v>
      </c>
      <c r="C21" s="336" t="s">
        <v>155</v>
      </c>
      <c r="D21" s="366">
        <v>0</v>
      </c>
      <c r="E21" s="337">
        <f>SUM(D6:D10)*D21</f>
        <v>0</v>
      </c>
    </row>
    <row r="22" spans="2:13">
      <c r="B22" s="335">
        <v>3</v>
      </c>
      <c r="C22" s="336" t="s">
        <v>134</v>
      </c>
      <c r="D22" s="337"/>
      <c r="E22" s="337">
        <f>D13-E20-E21</f>
        <v>4481660.5043960623</v>
      </c>
    </row>
    <row r="23" spans="2:13">
      <c r="B23" s="411" t="s">
        <v>1</v>
      </c>
      <c r="C23" s="411"/>
      <c r="D23" s="338"/>
      <c r="E23" s="338">
        <f>SUM(E20:E22)</f>
        <v>5426660.7683960628</v>
      </c>
    </row>
    <row r="25" spans="2:13">
      <c r="B25" s="413" t="s">
        <v>417</v>
      </c>
      <c r="C25" s="413"/>
      <c r="D25" s="413"/>
      <c r="E25" s="413"/>
      <c r="F25" s="413"/>
    </row>
    <row r="27" spans="2:13" ht="18.75">
      <c r="B27" s="415" t="s">
        <v>711</v>
      </c>
      <c r="C27" s="415"/>
      <c r="D27" s="415"/>
      <c r="E27" s="415"/>
      <c r="F27" s="415"/>
      <c r="G27" s="415"/>
    </row>
    <row r="28" spans="2:13">
      <c r="B28" s="345" t="s">
        <v>144</v>
      </c>
      <c r="C28" s="346" t="s">
        <v>591</v>
      </c>
      <c r="D28" s="347" t="s">
        <v>592</v>
      </c>
      <c r="E28" s="348" t="s">
        <v>593</v>
      </c>
      <c r="F28" s="409" t="s">
        <v>594</v>
      </c>
      <c r="G28" s="410"/>
    </row>
    <row r="29" spans="2:13" ht="25.5">
      <c r="B29" s="349">
        <v>1</v>
      </c>
      <c r="C29" s="336" t="s">
        <v>375</v>
      </c>
      <c r="D29" s="350">
        <f>'9. Financial indiacators'!C49</f>
        <v>0.5784733853951336</v>
      </c>
      <c r="E29" s="349" t="s">
        <v>376</v>
      </c>
      <c r="F29" s="356" t="s">
        <v>595</v>
      </c>
      <c r="G29" s="349" t="s">
        <v>377</v>
      </c>
    </row>
    <row r="30" spans="2:13" ht="38.25">
      <c r="B30" s="349">
        <v>2</v>
      </c>
      <c r="C30" s="336" t="s">
        <v>378</v>
      </c>
      <c r="D30" s="351">
        <f>'9. Financial indiacators'!C85</f>
        <v>0.27706479176180571</v>
      </c>
      <c r="E30" s="349" t="s">
        <v>376</v>
      </c>
      <c r="F30" s="356" t="s">
        <v>596</v>
      </c>
      <c r="G30" s="349" t="s">
        <v>379</v>
      </c>
    </row>
    <row r="31" spans="2:13" ht="38.25">
      <c r="B31" s="349">
        <v>3</v>
      </c>
      <c r="C31" s="336" t="s">
        <v>380</v>
      </c>
      <c r="D31" s="350">
        <f>'9. Financial indiacators'!C16</f>
        <v>0.13691253504335776</v>
      </c>
      <c r="E31" s="349" t="s">
        <v>376</v>
      </c>
      <c r="F31" s="356" t="s">
        <v>597</v>
      </c>
      <c r="G31" s="349" t="s">
        <v>381</v>
      </c>
    </row>
    <row r="32" spans="2:13" ht="63.75">
      <c r="B32" s="349">
        <v>4</v>
      </c>
      <c r="C32" s="336" t="s">
        <v>382</v>
      </c>
      <c r="D32" s="352">
        <f>'9. Financial indiacators'!C73</f>
        <v>1094902.7093292633</v>
      </c>
      <c r="E32" s="349" t="s">
        <v>386</v>
      </c>
      <c r="F32" s="356" t="s">
        <v>598</v>
      </c>
      <c r="G32" s="349" t="s">
        <v>383</v>
      </c>
    </row>
    <row r="33" spans="2:7" ht="38.25">
      <c r="B33" s="349">
        <v>5</v>
      </c>
      <c r="C33" s="336" t="s">
        <v>384</v>
      </c>
      <c r="D33" s="353">
        <f>'9. Financial indiacators'!D101</f>
        <v>5.342764393840314</v>
      </c>
      <c r="E33" s="349" t="s">
        <v>376</v>
      </c>
      <c r="F33" s="356" t="s">
        <v>599</v>
      </c>
      <c r="G33" s="349" t="s">
        <v>387</v>
      </c>
    </row>
    <row r="34" spans="2:7" ht="38.25">
      <c r="B34" s="349">
        <v>6</v>
      </c>
      <c r="C34" s="354" t="s">
        <v>385</v>
      </c>
      <c r="D34" s="353" t="e">
        <f>'9. Financial indiacators'!C119</f>
        <v>#DIV/0!</v>
      </c>
      <c r="E34" s="355" t="s">
        <v>376</v>
      </c>
      <c r="F34" s="356" t="s">
        <v>600</v>
      </c>
      <c r="G34" s="354" t="s">
        <v>388</v>
      </c>
    </row>
  </sheetData>
  <mergeCells count="9">
    <mergeCell ref="F28:G28"/>
    <mergeCell ref="B13:C13"/>
    <mergeCell ref="B23:C23"/>
    <mergeCell ref="B3:F3"/>
    <mergeCell ref="B25:F25"/>
    <mergeCell ref="A15:F15"/>
    <mergeCell ref="B27:G27"/>
    <mergeCell ref="B17:E17"/>
    <mergeCell ref="B4:F4"/>
  </mergeCells>
  <conditionalFormatting sqref="D24">
    <cfRule type="cellIs" dxfId="3" priority="1" operator="greaterThan">
      <formula>0</formula>
    </cfRule>
  </conditionalFormatting>
  <pageMargins left="0.70866141732283472" right="0.70866141732283472" top="0.74803149606299213" bottom="0.74803149606299213" header="0.31496062992125984" footer="0.31496062992125984"/>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7"/>
  <sheetViews>
    <sheetView tabSelected="1" view="pageBreakPreview" zoomScale="80" zoomScaleSheetLayoutView="80" workbookViewId="0">
      <selection activeCell="D75" sqref="D75"/>
    </sheetView>
  </sheetViews>
  <sheetFormatPr defaultRowHeight="15"/>
  <cols>
    <col min="2" max="2" width="7.5703125" bestFit="1" customWidth="1"/>
    <col min="3" max="3" width="41.5703125" customWidth="1"/>
    <col min="4" max="4" width="11.5703125" customWidth="1"/>
    <col min="5" max="5" width="17" customWidth="1"/>
    <col min="6" max="6" width="14" bestFit="1" customWidth="1"/>
    <col min="7" max="7" width="12.28515625" customWidth="1"/>
    <col min="8" max="8" width="11.5703125" bestFit="1" customWidth="1"/>
  </cols>
  <sheetData>
    <row r="2" spans="1:7" ht="18.75">
      <c r="A2" s="5" t="s">
        <v>705</v>
      </c>
      <c r="B2" s="412" t="s">
        <v>684</v>
      </c>
      <c r="C2" s="412"/>
      <c r="D2" s="412"/>
      <c r="E2" s="412"/>
      <c r="F2" s="412"/>
      <c r="G2" s="412"/>
    </row>
    <row r="4" spans="1:7" ht="28.5">
      <c r="B4" s="214" t="s">
        <v>144</v>
      </c>
      <c r="C4" s="214" t="s">
        <v>128</v>
      </c>
      <c r="D4" s="214" t="s">
        <v>132</v>
      </c>
      <c r="E4" s="214" t="s">
        <v>145</v>
      </c>
      <c r="F4" s="214" t="s">
        <v>146</v>
      </c>
      <c r="G4" s="214" t="s">
        <v>156</v>
      </c>
    </row>
    <row r="5" spans="1:7">
      <c r="B5" s="373">
        <v>1</v>
      </c>
      <c r="C5" s="373" t="s">
        <v>147</v>
      </c>
      <c r="D5" s="373" t="s">
        <v>148</v>
      </c>
      <c r="E5" s="390">
        <v>1</v>
      </c>
      <c r="F5" s="390">
        <v>3080000</v>
      </c>
      <c r="G5" s="357" t="s">
        <v>699</v>
      </c>
    </row>
    <row r="6" spans="1:7">
      <c r="B6" s="373">
        <v>2</v>
      </c>
      <c r="C6" s="373" t="s">
        <v>713</v>
      </c>
      <c r="D6" s="374" t="s">
        <v>720</v>
      </c>
      <c r="E6" s="375">
        <v>1</v>
      </c>
      <c r="F6" s="390">
        <v>500000</v>
      </c>
      <c r="G6" s="377">
        <f>E6*F6</f>
        <v>500000</v>
      </c>
    </row>
    <row r="7" spans="1:7">
      <c r="B7" s="373"/>
      <c r="C7" s="373"/>
      <c r="D7" s="374"/>
      <c r="E7" s="375"/>
      <c r="F7" s="390"/>
      <c r="G7" s="377">
        <f t="shared" ref="G7:G11" si="0">E7*F7</f>
        <v>0</v>
      </c>
    </row>
    <row r="8" spans="1:7">
      <c r="B8" s="373"/>
      <c r="C8" s="373"/>
      <c r="D8" s="374"/>
      <c r="E8" s="375"/>
      <c r="F8" s="376"/>
      <c r="G8" s="377">
        <f t="shared" si="0"/>
        <v>0</v>
      </c>
    </row>
    <row r="9" spans="1:7">
      <c r="B9" s="373"/>
      <c r="C9" s="373"/>
      <c r="D9" s="374"/>
      <c r="E9" s="375"/>
      <c r="F9" s="376"/>
      <c r="G9" s="377">
        <f t="shared" si="0"/>
        <v>0</v>
      </c>
    </row>
    <row r="10" spans="1:7">
      <c r="B10" s="373"/>
      <c r="C10" s="373"/>
      <c r="D10" s="374"/>
      <c r="E10" s="375"/>
      <c r="F10" s="376"/>
      <c r="G10" s="377">
        <f t="shared" si="0"/>
        <v>0</v>
      </c>
    </row>
    <row r="11" spans="1:7">
      <c r="B11" s="373"/>
      <c r="C11" s="373"/>
      <c r="D11" s="374"/>
      <c r="E11" s="375"/>
      <c r="F11" s="376"/>
      <c r="G11" s="377">
        <f t="shared" si="0"/>
        <v>0</v>
      </c>
    </row>
    <row r="12" spans="1:7">
      <c r="B12" s="424" t="s">
        <v>1</v>
      </c>
      <c r="C12" s="424"/>
      <c r="D12" s="424"/>
      <c r="E12" s="424"/>
      <c r="F12" s="424"/>
      <c r="G12" s="228">
        <f>SUM(G6:G11)</f>
        <v>500000</v>
      </c>
    </row>
    <row r="15" spans="1:7">
      <c r="B15" s="413" t="s">
        <v>411</v>
      </c>
      <c r="C15" s="413"/>
      <c r="D15" s="413"/>
      <c r="E15" s="413"/>
      <c r="F15" s="413"/>
      <c r="G15" s="413"/>
    </row>
    <row r="17" spans="2:8" ht="18.75">
      <c r="B17" s="412" t="s">
        <v>153</v>
      </c>
      <c r="C17" s="412"/>
      <c r="D17" s="412"/>
      <c r="E17" s="412"/>
      <c r="F17" s="412"/>
      <c r="G17" s="412"/>
      <c r="H17" s="412"/>
    </row>
    <row r="18" spans="2:8">
      <c r="B18" s="19"/>
    </row>
    <row r="19" spans="2:8" ht="28.5">
      <c r="B19" s="308" t="s">
        <v>144</v>
      </c>
      <c r="C19" s="308" t="s">
        <v>149</v>
      </c>
      <c r="D19" s="308" t="s">
        <v>159</v>
      </c>
      <c r="E19" s="308" t="s">
        <v>150</v>
      </c>
      <c r="F19" s="308" t="s">
        <v>151</v>
      </c>
      <c r="G19" s="308" t="s">
        <v>156</v>
      </c>
      <c r="H19" s="308" t="s">
        <v>152</v>
      </c>
    </row>
    <row r="20" spans="2:8" hidden="1">
      <c r="B20" s="236"/>
      <c r="C20" s="229"/>
      <c r="D20" s="229"/>
      <c r="E20" s="229"/>
      <c r="F20" s="229"/>
      <c r="G20" s="230"/>
      <c r="H20" s="229"/>
    </row>
    <row r="21" spans="2:8" hidden="1">
      <c r="B21" s="232"/>
      <c r="C21" s="231"/>
      <c r="D21" s="231"/>
      <c r="E21" s="232"/>
      <c r="F21" s="233"/>
      <c r="G21" s="230">
        <f t="shared" ref="G21:G31" si="1">E21*F21</f>
        <v>0</v>
      </c>
      <c r="H21" s="234"/>
    </row>
    <row r="22" spans="2:8" hidden="1">
      <c r="B22" s="232"/>
      <c r="C22" s="231"/>
      <c r="D22" s="231"/>
      <c r="E22" s="232"/>
      <c r="F22" s="233"/>
      <c r="G22" s="230">
        <f t="shared" si="1"/>
        <v>0</v>
      </c>
      <c r="H22" s="234"/>
    </row>
    <row r="23" spans="2:8" hidden="1">
      <c r="B23" s="232"/>
      <c r="C23" s="231"/>
      <c r="D23" s="231"/>
      <c r="E23" s="232"/>
      <c r="F23" s="233"/>
      <c r="G23" s="230">
        <f t="shared" si="1"/>
        <v>0</v>
      </c>
      <c r="H23" s="234"/>
    </row>
    <row r="24" spans="2:8" hidden="1">
      <c r="B24" s="232"/>
      <c r="C24" s="231"/>
      <c r="D24" s="231"/>
      <c r="E24" s="232"/>
      <c r="F24" s="233"/>
      <c r="G24" s="230">
        <f t="shared" si="1"/>
        <v>0</v>
      </c>
      <c r="H24" s="234"/>
    </row>
    <row r="25" spans="2:8" hidden="1">
      <c r="B25" s="232"/>
      <c r="C25" s="231"/>
      <c r="D25" s="231"/>
      <c r="E25" s="232"/>
      <c r="F25" s="233"/>
      <c r="G25" s="230">
        <f t="shared" si="1"/>
        <v>0</v>
      </c>
      <c r="H25" s="234"/>
    </row>
    <row r="26" spans="2:8" hidden="1">
      <c r="B26" s="232"/>
      <c r="C26" s="231"/>
      <c r="D26" s="231"/>
      <c r="E26" s="232"/>
      <c r="F26" s="233"/>
      <c r="G26" s="230">
        <f t="shared" si="1"/>
        <v>0</v>
      </c>
      <c r="H26" s="234"/>
    </row>
    <row r="27" spans="2:8" hidden="1">
      <c r="B27" s="232"/>
      <c r="C27" s="231"/>
      <c r="D27" s="231"/>
      <c r="E27" s="232"/>
      <c r="F27" s="233"/>
      <c r="G27" s="230">
        <f t="shared" si="1"/>
        <v>0</v>
      </c>
      <c r="H27" s="234"/>
    </row>
    <row r="28" spans="2:8" hidden="1">
      <c r="B28" s="232"/>
      <c r="C28" s="231"/>
      <c r="D28" s="231"/>
      <c r="E28" s="232"/>
      <c r="F28" s="233"/>
      <c r="G28" s="230">
        <f t="shared" si="1"/>
        <v>0</v>
      </c>
      <c r="H28" s="234"/>
    </row>
    <row r="29" spans="2:8" hidden="1">
      <c r="B29" s="232"/>
      <c r="C29" s="231"/>
      <c r="D29" s="232"/>
      <c r="E29" s="232"/>
      <c r="F29" s="233"/>
      <c r="G29" s="230">
        <f t="shared" si="1"/>
        <v>0</v>
      </c>
      <c r="H29" s="234"/>
    </row>
    <row r="30" spans="2:8" hidden="1">
      <c r="B30" s="232"/>
      <c r="C30" s="231"/>
      <c r="D30" s="232"/>
      <c r="E30" s="232"/>
      <c r="F30" s="233"/>
      <c r="G30" s="230">
        <f t="shared" si="1"/>
        <v>0</v>
      </c>
      <c r="H30" s="234"/>
    </row>
    <row r="31" spans="2:8" hidden="1">
      <c r="B31" s="232"/>
      <c r="C31" s="231"/>
      <c r="D31" s="232"/>
      <c r="E31" s="232"/>
      <c r="F31" s="233"/>
      <c r="G31" s="230">
        <f t="shared" si="1"/>
        <v>0</v>
      </c>
      <c r="H31" s="234"/>
    </row>
    <row r="32" spans="2:8" ht="15" hidden="1" customHeight="1">
      <c r="B32" s="425" t="s">
        <v>169</v>
      </c>
      <c r="C32" s="426"/>
      <c r="D32" s="232"/>
      <c r="E32" s="232"/>
      <c r="F32" s="235"/>
      <c r="G32" s="230">
        <f>SUM(G21:G31)</f>
        <v>0</v>
      </c>
      <c r="H32" s="230">
        <f>SUM(H21:H31)</f>
        <v>0</v>
      </c>
    </row>
    <row r="33" spans="2:8" hidden="1">
      <c r="B33" s="232" t="s">
        <v>172</v>
      </c>
      <c r="C33" s="231" t="s">
        <v>293</v>
      </c>
      <c r="D33" s="236"/>
      <c r="E33" s="236"/>
      <c r="F33" s="230"/>
      <c r="G33" s="230"/>
      <c r="H33" s="229"/>
    </row>
    <row r="34" spans="2:8" hidden="1">
      <c r="B34" s="236"/>
      <c r="C34" s="237"/>
      <c r="D34" s="237"/>
      <c r="E34" s="236"/>
      <c r="F34" s="230"/>
      <c r="G34" s="230">
        <f t="shared" ref="G34:G39" si="2">E34*F34</f>
        <v>0</v>
      </c>
      <c r="H34" s="229"/>
    </row>
    <row r="35" spans="2:8" hidden="1">
      <c r="B35" s="236"/>
      <c r="C35" s="237"/>
      <c r="D35" s="236"/>
      <c r="E35" s="236"/>
      <c r="F35" s="230"/>
      <c r="G35" s="230">
        <f t="shared" si="2"/>
        <v>0</v>
      </c>
      <c r="H35" s="229"/>
    </row>
    <row r="36" spans="2:8" hidden="1">
      <c r="B36" s="236"/>
      <c r="C36" s="237"/>
      <c r="D36" s="236"/>
      <c r="E36" s="236"/>
      <c r="F36" s="230"/>
      <c r="G36" s="230">
        <f t="shared" si="2"/>
        <v>0</v>
      </c>
      <c r="H36" s="229"/>
    </row>
    <row r="37" spans="2:8" hidden="1">
      <c r="B37" s="236"/>
      <c r="C37" s="237"/>
      <c r="D37" s="236"/>
      <c r="E37" s="236"/>
      <c r="F37" s="230"/>
      <c r="G37" s="230">
        <f t="shared" si="2"/>
        <v>0</v>
      </c>
      <c r="H37" s="229"/>
    </row>
    <row r="38" spans="2:8" hidden="1">
      <c r="B38" s="236"/>
      <c r="C38" s="237"/>
      <c r="D38" s="236"/>
      <c r="E38" s="236"/>
      <c r="F38" s="230"/>
      <c r="G38" s="230">
        <f t="shared" si="2"/>
        <v>0</v>
      </c>
      <c r="H38" s="229"/>
    </row>
    <row r="39" spans="2:8" hidden="1">
      <c r="B39" s="236"/>
      <c r="C39" s="237"/>
      <c r="D39" s="236"/>
      <c r="E39" s="236"/>
      <c r="F39" s="230"/>
      <c r="G39" s="230">
        <f t="shared" si="2"/>
        <v>0</v>
      </c>
      <c r="H39" s="229"/>
    </row>
    <row r="40" spans="2:8" hidden="1">
      <c r="B40" s="236"/>
      <c r="C40" s="237"/>
      <c r="D40" s="236"/>
      <c r="E40" s="236"/>
      <c r="F40" s="230"/>
      <c r="G40" s="230">
        <f t="shared" ref="G40:G46" si="3">F40</f>
        <v>0</v>
      </c>
      <c r="H40" s="229"/>
    </row>
    <row r="41" spans="2:8" hidden="1">
      <c r="B41" s="236"/>
      <c r="C41" s="237"/>
      <c r="D41" s="236"/>
      <c r="E41" s="236"/>
      <c r="F41" s="230"/>
      <c r="G41" s="230">
        <f t="shared" si="3"/>
        <v>0</v>
      </c>
      <c r="H41" s="229"/>
    </row>
    <row r="42" spans="2:8" hidden="1">
      <c r="B42" s="236"/>
      <c r="C42" s="237"/>
      <c r="D42" s="236"/>
      <c r="E42" s="236"/>
      <c r="F42" s="230"/>
      <c r="G42" s="230">
        <f t="shared" si="3"/>
        <v>0</v>
      </c>
      <c r="H42" s="229"/>
    </row>
    <row r="43" spans="2:8" hidden="1">
      <c r="B43" s="236"/>
      <c r="C43" s="237"/>
      <c r="D43" s="236"/>
      <c r="E43" s="236"/>
      <c r="F43" s="230"/>
      <c r="G43" s="230">
        <f t="shared" si="3"/>
        <v>0</v>
      </c>
      <c r="H43" s="229"/>
    </row>
    <row r="44" spans="2:8" hidden="1">
      <c r="B44" s="236"/>
      <c r="C44" s="237"/>
      <c r="D44" s="236"/>
      <c r="E44" s="236"/>
      <c r="F44" s="230"/>
      <c r="G44" s="230">
        <f t="shared" si="3"/>
        <v>0</v>
      </c>
      <c r="H44" s="229"/>
    </row>
    <row r="45" spans="2:8" hidden="1">
      <c r="B45" s="236"/>
      <c r="C45" s="237"/>
      <c r="D45" s="236"/>
      <c r="E45" s="236"/>
      <c r="F45" s="230"/>
      <c r="G45" s="230">
        <f t="shared" si="3"/>
        <v>0</v>
      </c>
      <c r="H45" s="229"/>
    </row>
    <row r="46" spans="2:8" hidden="1">
      <c r="B46" s="236"/>
      <c r="C46" s="237"/>
      <c r="D46" s="236"/>
      <c r="E46" s="236"/>
      <c r="F46" s="230"/>
      <c r="G46" s="230">
        <f t="shared" si="3"/>
        <v>0</v>
      </c>
      <c r="H46" s="229"/>
    </row>
    <row r="47" spans="2:8" ht="15" hidden="1" customHeight="1">
      <c r="B47" s="425" t="s">
        <v>169</v>
      </c>
      <c r="C47" s="426"/>
      <c r="D47" s="232"/>
      <c r="E47" s="232"/>
      <c r="F47" s="235"/>
      <c r="G47" s="235">
        <f>SUM(G34:G46)</f>
        <v>0</v>
      </c>
      <c r="H47" s="235">
        <f>SUM(H34:H46)</f>
        <v>0</v>
      </c>
    </row>
    <row r="48" spans="2:8" hidden="1">
      <c r="B48" s="236"/>
      <c r="C48" s="237"/>
      <c r="D48" s="236"/>
      <c r="E48" s="236"/>
      <c r="F48" s="230"/>
      <c r="G48" s="230"/>
      <c r="H48" s="229"/>
    </row>
    <row r="49" spans="2:8">
      <c r="B49" s="378" t="s">
        <v>171</v>
      </c>
      <c r="C49" s="221"/>
      <c r="D49" s="379"/>
      <c r="E49" s="379"/>
      <c r="F49" s="380"/>
      <c r="G49" s="380">
        <f t="shared" ref="G49:G57" si="4">E49*F49</f>
        <v>0</v>
      </c>
      <c r="H49" s="98"/>
    </row>
    <row r="50" spans="2:8" ht="28.5">
      <c r="B50" s="378"/>
      <c r="C50" s="221" t="s">
        <v>714</v>
      </c>
      <c r="D50" s="223" t="s">
        <v>721</v>
      </c>
      <c r="E50" s="379">
        <v>1</v>
      </c>
      <c r="F50" s="380">
        <v>764938</v>
      </c>
      <c r="G50" s="380">
        <f t="shared" si="4"/>
        <v>764938</v>
      </c>
      <c r="H50" s="98"/>
    </row>
    <row r="51" spans="2:8">
      <c r="B51" s="378"/>
      <c r="C51" s="221" t="s">
        <v>717</v>
      </c>
      <c r="D51" s="223" t="s">
        <v>722</v>
      </c>
      <c r="E51" s="379">
        <v>1</v>
      </c>
      <c r="F51" s="380">
        <v>56200</v>
      </c>
      <c r="G51" s="380">
        <f t="shared" si="4"/>
        <v>56200</v>
      </c>
      <c r="H51" s="98"/>
    </row>
    <row r="52" spans="2:8">
      <c r="B52" s="378"/>
      <c r="C52" s="221" t="s">
        <v>718</v>
      </c>
      <c r="D52" s="223">
        <v>1</v>
      </c>
      <c r="E52" s="379">
        <v>1</v>
      </c>
      <c r="F52" s="380">
        <v>26320</v>
      </c>
      <c r="G52" s="380">
        <f t="shared" si="4"/>
        <v>26320</v>
      </c>
      <c r="H52" s="98"/>
    </row>
    <row r="53" spans="2:8">
      <c r="B53" s="378"/>
      <c r="C53" s="221"/>
      <c r="D53" s="223"/>
      <c r="E53" s="379"/>
      <c r="F53" s="380"/>
      <c r="G53" s="380"/>
      <c r="H53" s="98"/>
    </row>
    <row r="54" spans="2:8">
      <c r="B54" s="378"/>
      <c r="C54" s="221"/>
      <c r="D54" s="223"/>
      <c r="E54" s="379"/>
      <c r="F54" s="380"/>
      <c r="G54" s="380"/>
      <c r="H54" s="98"/>
    </row>
    <row r="55" spans="2:8">
      <c r="B55" s="378"/>
      <c r="C55" s="221"/>
      <c r="D55" s="223"/>
      <c r="E55" s="379"/>
      <c r="F55" s="380"/>
      <c r="G55" s="380"/>
      <c r="H55" s="98"/>
    </row>
    <row r="56" spans="2:8">
      <c r="B56" s="378"/>
      <c r="C56" s="221"/>
      <c r="D56" s="223"/>
      <c r="E56" s="379"/>
      <c r="F56" s="380"/>
      <c r="G56" s="380"/>
      <c r="H56" s="98"/>
    </row>
    <row r="57" spans="2:8">
      <c r="B57" s="378"/>
      <c r="C57" s="221" t="s">
        <v>715</v>
      </c>
      <c r="D57" s="223">
        <v>1</v>
      </c>
      <c r="E57" s="379">
        <v>1</v>
      </c>
      <c r="F57" s="380">
        <f>76271.22*2</f>
        <v>152542.44</v>
      </c>
      <c r="G57" s="380">
        <f t="shared" si="4"/>
        <v>152542.44</v>
      </c>
      <c r="H57" s="98"/>
    </row>
    <row r="58" spans="2:8">
      <c r="B58" s="378"/>
      <c r="C58" s="221"/>
      <c r="D58" s="223"/>
      <c r="E58" s="379"/>
      <c r="F58" s="380"/>
      <c r="G58" s="380"/>
      <c r="H58" s="98"/>
    </row>
    <row r="59" spans="2:8">
      <c r="B59" s="378"/>
      <c r="C59" s="221"/>
      <c r="D59" s="223"/>
      <c r="E59" s="379"/>
      <c r="F59" s="380"/>
      <c r="G59" s="380"/>
      <c r="H59" s="98"/>
    </row>
    <row r="60" spans="2:8">
      <c r="B60" s="378"/>
      <c r="C60" s="221"/>
      <c r="D60" s="223">
        <v>1</v>
      </c>
      <c r="E60" s="379"/>
      <c r="F60" s="380"/>
      <c r="G60" s="380"/>
      <c r="H60" s="98"/>
    </row>
    <row r="61" spans="2:8">
      <c r="B61" s="427" t="s">
        <v>169</v>
      </c>
      <c r="C61" s="427"/>
      <c r="D61" s="223"/>
      <c r="E61" s="379"/>
      <c r="F61" s="380"/>
      <c r="G61" s="380">
        <f>SUM(G50:G60)</f>
        <v>1000000.44</v>
      </c>
      <c r="H61" s="380">
        <f>SUM(H49:H57)</f>
        <v>0</v>
      </c>
    </row>
    <row r="62" spans="2:8" hidden="1">
      <c r="B62" s="232"/>
      <c r="C62" s="232"/>
      <c r="D62" s="237"/>
      <c r="E62" s="236"/>
      <c r="F62" s="230"/>
      <c r="G62" s="230"/>
      <c r="H62" s="230"/>
    </row>
    <row r="63" spans="2:8" hidden="1">
      <c r="B63" s="232" t="s">
        <v>174</v>
      </c>
      <c r="C63" s="232" t="s">
        <v>535</v>
      </c>
      <c r="D63" s="237"/>
      <c r="E63" s="236"/>
      <c r="F63" s="230"/>
      <c r="G63" s="230">
        <f>E63*F63</f>
        <v>0</v>
      </c>
      <c r="H63" s="230"/>
    </row>
    <row r="64" spans="2:8" hidden="1">
      <c r="B64" s="232"/>
      <c r="C64" s="232"/>
      <c r="D64" s="237"/>
      <c r="E64" s="236"/>
      <c r="F64" s="230"/>
      <c r="G64" s="230">
        <f t="shared" ref="G64:G66" si="5">E64*F64</f>
        <v>0</v>
      </c>
      <c r="H64" s="230"/>
    </row>
    <row r="65" spans="1:11" hidden="1">
      <c r="B65" s="232"/>
      <c r="C65" s="232"/>
      <c r="D65" s="237"/>
      <c r="E65" s="236"/>
      <c r="F65" s="230"/>
      <c r="G65" s="230">
        <f t="shared" si="5"/>
        <v>0</v>
      </c>
      <c r="H65" s="230"/>
    </row>
    <row r="66" spans="1:11" hidden="1">
      <c r="B66" s="232"/>
      <c r="C66" s="231"/>
      <c r="D66" s="237"/>
      <c r="E66" s="236"/>
      <c r="F66" s="230"/>
      <c r="G66" s="230">
        <f t="shared" si="5"/>
        <v>0</v>
      </c>
      <c r="H66" s="229"/>
    </row>
    <row r="67" spans="1:11" hidden="1">
      <c r="B67" s="420" t="s">
        <v>169</v>
      </c>
      <c r="C67" s="420"/>
      <c r="D67" s="237"/>
      <c r="E67" s="236"/>
      <c r="F67" s="230"/>
      <c r="G67" s="230">
        <f>SUM(G63:G66)</f>
        <v>0</v>
      </c>
      <c r="H67" s="230">
        <f>SUM(H63:H66)</f>
        <v>0</v>
      </c>
    </row>
    <row r="68" spans="1:11" hidden="1">
      <c r="B68" s="236"/>
      <c r="C68" s="237"/>
      <c r="D68" s="237"/>
      <c r="E68" s="236"/>
      <c r="F68" s="230"/>
      <c r="G68" s="230"/>
      <c r="H68" s="229"/>
    </row>
    <row r="69" spans="1:11">
      <c r="B69" s="421" t="s">
        <v>1</v>
      </c>
      <c r="C69" s="421"/>
      <c r="D69" s="421"/>
      <c r="E69" s="421"/>
      <c r="F69" s="421"/>
      <c r="G69" s="227">
        <f>G61+G47+G32+G67</f>
        <v>1000000.44</v>
      </c>
      <c r="H69" s="227">
        <f>H47+H21+H61+H67</f>
        <v>0</v>
      </c>
    </row>
    <row r="70" spans="1:11">
      <c r="B70" s="413" t="s">
        <v>412</v>
      </c>
      <c r="C70" s="413"/>
      <c r="D70" s="413"/>
      <c r="E70" s="413"/>
      <c r="F70" s="413"/>
      <c r="G70" s="413"/>
      <c r="H70" s="413"/>
    </row>
    <row r="71" spans="1:11" hidden="1">
      <c r="B71" s="19"/>
      <c r="G71" s="18"/>
      <c r="I71" s="19"/>
      <c r="J71" s="19"/>
      <c r="K71" s="20"/>
    </row>
    <row r="72" spans="1:11" hidden="1"/>
    <row r="73" spans="1:11" hidden="1"/>
    <row r="74" spans="1:11">
      <c r="A74" t="s">
        <v>716</v>
      </c>
      <c r="B74" t="s">
        <v>716</v>
      </c>
    </row>
    <row r="84" spans="1:7" ht="18.75">
      <c r="B84" s="412" t="s">
        <v>373</v>
      </c>
      <c r="C84" s="412"/>
      <c r="D84" s="412"/>
      <c r="E84" s="412"/>
      <c r="F84" s="412"/>
    </row>
    <row r="85" spans="1:7" ht="30">
      <c r="B85" s="23" t="s">
        <v>144</v>
      </c>
      <c r="C85" s="57" t="s">
        <v>128</v>
      </c>
      <c r="D85" s="57" t="s">
        <v>150</v>
      </c>
      <c r="E85" s="57" t="s">
        <v>151</v>
      </c>
      <c r="F85" s="57" t="s">
        <v>156</v>
      </c>
    </row>
    <row r="86" spans="1:7">
      <c r="B86" s="381">
        <v>1</v>
      </c>
      <c r="C86" s="382" t="s">
        <v>681</v>
      </c>
      <c r="D86" s="381">
        <v>1</v>
      </c>
      <c r="E86" s="383">
        <v>10000</v>
      </c>
      <c r="F86" s="384">
        <f t="shared" ref="F86:F91" si="6">D86*E86</f>
        <v>10000</v>
      </c>
    </row>
    <row r="87" spans="1:7" hidden="1">
      <c r="B87" s="381"/>
      <c r="C87" s="382"/>
      <c r="D87" s="381"/>
      <c r="E87" s="383"/>
      <c r="F87" s="384">
        <f t="shared" si="6"/>
        <v>0</v>
      </c>
    </row>
    <row r="88" spans="1:7" hidden="1">
      <c r="B88" s="381"/>
      <c r="C88" s="382"/>
      <c r="D88" s="381"/>
      <c r="E88" s="383"/>
      <c r="F88" s="384">
        <f t="shared" si="6"/>
        <v>0</v>
      </c>
    </row>
    <row r="89" spans="1:7" hidden="1">
      <c r="B89" s="381"/>
      <c r="C89" s="382"/>
      <c r="D89" s="381"/>
      <c r="E89" s="383"/>
      <c r="F89" s="384">
        <f t="shared" si="6"/>
        <v>0</v>
      </c>
    </row>
    <row r="90" spans="1:7" hidden="1">
      <c r="B90" s="381"/>
      <c r="C90" s="382"/>
      <c r="D90" s="381"/>
      <c r="E90" s="383"/>
      <c r="F90" s="384">
        <f t="shared" si="6"/>
        <v>0</v>
      </c>
    </row>
    <row r="91" spans="1:7">
      <c r="B91" s="381"/>
      <c r="C91" s="382"/>
      <c r="D91" s="381"/>
      <c r="E91" s="383"/>
      <c r="F91" s="384">
        <f t="shared" si="6"/>
        <v>0</v>
      </c>
    </row>
    <row r="92" spans="1:7">
      <c r="B92" s="423" t="s">
        <v>1</v>
      </c>
      <c r="C92" s="423"/>
      <c r="D92" s="423"/>
      <c r="E92" s="423"/>
      <c r="F92" s="21">
        <f>SUM(F86:F91)</f>
        <v>10000</v>
      </c>
    </row>
    <row r="93" spans="1:7">
      <c r="A93" s="413" t="s">
        <v>413</v>
      </c>
      <c r="B93" s="413"/>
      <c r="C93" s="413"/>
      <c r="D93" s="413"/>
      <c r="E93" s="413"/>
      <c r="F93" s="413"/>
      <c r="G93" s="413"/>
    </row>
    <row r="96" spans="1:7" ht="18.75">
      <c r="B96" s="412" t="s">
        <v>372</v>
      </c>
      <c r="C96" s="412"/>
      <c r="D96" s="412"/>
      <c r="E96" s="412"/>
      <c r="F96" s="412"/>
    </row>
    <row r="98" spans="1:7" ht="30">
      <c r="B98" s="23" t="s">
        <v>144</v>
      </c>
      <c r="C98" s="61" t="s">
        <v>128</v>
      </c>
      <c r="D98" s="61" t="s">
        <v>150</v>
      </c>
      <c r="E98" s="61" t="s">
        <v>151</v>
      </c>
      <c r="F98" s="61" t="s">
        <v>156</v>
      </c>
    </row>
    <row r="99" spans="1:7">
      <c r="B99" s="381">
        <v>1</v>
      </c>
      <c r="C99" s="382" t="s">
        <v>682</v>
      </c>
      <c r="D99" s="381">
        <v>1</v>
      </c>
      <c r="E99" s="383">
        <v>10000</v>
      </c>
      <c r="F99" s="384">
        <f t="shared" ref="F99:F104" si="7">D99*E99</f>
        <v>10000</v>
      </c>
    </row>
    <row r="100" spans="1:7">
      <c r="B100" s="381"/>
      <c r="C100" s="382"/>
      <c r="D100" s="381"/>
      <c r="E100" s="383"/>
      <c r="F100" s="384">
        <f t="shared" si="7"/>
        <v>0</v>
      </c>
    </row>
    <row r="101" spans="1:7">
      <c r="B101" s="381"/>
      <c r="C101" s="382"/>
      <c r="D101" s="381"/>
      <c r="E101" s="383"/>
      <c r="F101" s="384">
        <f t="shared" si="7"/>
        <v>0</v>
      </c>
    </row>
    <row r="102" spans="1:7">
      <c r="B102" s="381"/>
      <c r="C102" s="382"/>
      <c r="D102" s="381"/>
      <c r="E102" s="383"/>
      <c r="F102" s="384">
        <f t="shared" si="7"/>
        <v>0</v>
      </c>
    </row>
    <row r="103" spans="1:7">
      <c r="B103" s="381"/>
      <c r="C103" s="382"/>
      <c r="D103" s="381"/>
      <c r="E103" s="383"/>
      <c r="F103" s="384">
        <f t="shared" si="7"/>
        <v>0</v>
      </c>
    </row>
    <row r="104" spans="1:7">
      <c r="B104" s="381"/>
      <c r="C104" s="382"/>
      <c r="D104" s="381"/>
      <c r="E104" s="383"/>
      <c r="F104" s="384">
        <f t="shared" si="7"/>
        <v>0</v>
      </c>
    </row>
    <row r="105" spans="1:7">
      <c r="B105" s="423" t="s">
        <v>1</v>
      </c>
      <c r="C105" s="423"/>
      <c r="D105" s="423"/>
      <c r="E105" s="423"/>
      <c r="F105" s="21">
        <f>SUM(F99:F104)</f>
        <v>10000</v>
      </c>
    </row>
    <row r="107" spans="1:7">
      <c r="A107" s="413" t="s">
        <v>413</v>
      </c>
      <c r="B107" s="413"/>
      <c r="C107" s="413"/>
      <c r="D107" s="413"/>
      <c r="E107" s="413"/>
      <c r="F107" s="413"/>
      <c r="G107" s="413"/>
    </row>
    <row r="110" spans="1:7" ht="18.75">
      <c r="B110" s="412" t="s">
        <v>628</v>
      </c>
      <c r="C110" s="412"/>
      <c r="D110" s="412"/>
      <c r="E110" s="412"/>
      <c r="F110" s="412"/>
    </row>
    <row r="112" spans="1:7" ht="28.5">
      <c r="B112" s="213" t="s">
        <v>144</v>
      </c>
      <c r="C112" s="214" t="s">
        <v>128</v>
      </c>
      <c r="D112" s="214" t="s">
        <v>150</v>
      </c>
      <c r="E112" s="214" t="s">
        <v>151</v>
      </c>
      <c r="F112" s="214" t="s">
        <v>156</v>
      </c>
    </row>
    <row r="113" spans="1:7">
      <c r="B113" s="379"/>
      <c r="C113" s="223"/>
      <c r="D113" s="379"/>
      <c r="E113" s="385"/>
      <c r="F113" s="380">
        <f>E113*D113</f>
        <v>0</v>
      </c>
    </row>
    <row r="114" spans="1:7">
      <c r="B114" s="379"/>
      <c r="C114" s="223"/>
      <c r="D114" s="379"/>
      <c r="E114" s="385"/>
      <c r="F114" s="380">
        <f>E114*D114</f>
        <v>0</v>
      </c>
    </row>
    <row r="115" spans="1:7">
      <c r="B115" s="379"/>
      <c r="C115" s="223"/>
      <c r="D115" s="379"/>
      <c r="E115" s="385"/>
      <c r="F115" s="380">
        <f>E115*D115</f>
        <v>0</v>
      </c>
    </row>
    <row r="116" spans="1:7">
      <c r="B116" s="421" t="s">
        <v>1</v>
      </c>
      <c r="C116" s="421"/>
      <c r="D116" s="421"/>
      <c r="E116" s="421"/>
      <c r="F116" s="216">
        <f>SUM(F113:F115)</f>
        <v>0</v>
      </c>
    </row>
    <row r="117" spans="1:7">
      <c r="A117" s="422" t="s">
        <v>450</v>
      </c>
      <c r="B117" s="422"/>
      <c r="C117" s="422"/>
      <c r="D117" s="422"/>
      <c r="E117" s="422"/>
      <c r="F117" s="422"/>
      <c r="G117" s="422"/>
    </row>
    <row r="118" spans="1:7" ht="19.5" thickBot="1">
      <c r="B118" s="412" t="s">
        <v>254</v>
      </c>
      <c r="C118" s="412"/>
      <c r="D118" s="412"/>
    </row>
    <row r="119" spans="1:7" ht="29.25" thickBot="1">
      <c r="B119" s="225" t="s">
        <v>144</v>
      </c>
      <c r="C119" s="226" t="s">
        <v>128</v>
      </c>
      <c r="D119" s="226" t="s">
        <v>371</v>
      </c>
    </row>
    <row r="120" spans="1:7" ht="15.75" thickBot="1">
      <c r="B120" s="386">
        <v>1</v>
      </c>
      <c r="C120" s="387" t="s">
        <v>683</v>
      </c>
      <c r="D120" s="387">
        <v>55000</v>
      </c>
    </row>
    <row r="121" spans="1:7" ht="15.75" thickBot="1">
      <c r="B121" s="386"/>
      <c r="C121" s="387"/>
      <c r="D121" s="387"/>
    </row>
    <row r="122" spans="1:7" ht="15.75" thickBot="1">
      <c r="B122" s="386"/>
      <c r="C122" s="387"/>
      <c r="D122" s="387"/>
    </row>
    <row r="123" spans="1:7" ht="15.75" thickBot="1">
      <c r="B123" s="386"/>
      <c r="C123" s="387"/>
      <c r="D123" s="387"/>
    </row>
    <row r="124" spans="1:7" ht="15.75" thickBot="1">
      <c r="B124" s="386"/>
      <c r="C124" s="387"/>
      <c r="D124" s="387"/>
    </row>
    <row r="125" spans="1:7" ht="15.75" thickBot="1">
      <c r="B125" s="417" t="s">
        <v>1</v>
      </c>
      <c r="C125" s="418"/>
      <c r="D125" s="388">
        <f>SUM(D120:D124)</f>
        <v>55000</v>
      </c>
    </row>
    <row r="127" spans="1:7" ht="25.5" customHeight="1">
      <c r="A127" s="419" t="s">
        <v>451</v>
      </c>
      <c r="B127" s="419"/>
      <c r="C127" s="419"/>
      <c r="D127" s="419"/>
      <c r="E127" s="419"/>
    </row>
  </sheetData>
  <mergeCells count="22">
    <mergeCell ref="B12:F12"/>
    <mergeCell ref="B2:G2"/>
    <mergeCell ref="B15:G15"/>
    <mergeCell ref="B70:H70"/>
    <mergeCell ref="B69:F69"/>
    <mergeCell ref="B17:H17"/>
    <mergeCell ref="B32:C32"/>
    <mergeCell ref="B47:C47"/>
    <mergeCell ref="B61:C61"/>
    <mergeCell ref="B125:C125"/>
    <mergeCell ref="A127:E127"/>
    <mergeCell ref="B67:C67"/>
    <mergeCell ref="A107:G107"/>
    <mergeCell ref="B116:E116"/>
    <mergeCell ref="B110:F110"/>
    <mergeCell ref="A117:G117"/>
    <mergeCell ref="B118:D118"/>
    <mergeCell ref="B92:E92"/>
    <mergeCell ref="B84:F84"/>
    <mergeCell ref="A93:G93"/>
    <mergeCell ref="B105:E105"/>
    <mergeCell ref="B96:F96"/>
  </mergeCells>
  <hyperlinks>
    <hyperlink ref="C57" r:id="rId1"/>
  </hyperlinks>
  <pageMargins left="0.70866141732283472" right="0.70866141732283472" top="0.74803149606299213" bottom="0.74803149606299213" header="0.31496062992125984" footer="0.31496062992125984"/>
  <pageSetup scale="7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zoomScale="80" zoomScaleSheetLayoutView="80" workbookViewId="0">
      <selection activeCell="D9" sqref="D9"/>
    </sheetView>
  </sheetViews>
  <sheetFormatPr defaultRowHeight="15"/>
  <cols>
    <col min="1" max="1" width="41.28515625" customWidth="1"/>
    <col min="2" max="2" width="17.28515625"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3.28515625" customWidth="1"/>
    <col min="13" max="13" width="13.5703125" customWidth="1"/>
    <col min="14" max="14" width="17" customWidth="1"/>
    <col min="15" max="15" width="13.7109375" customWidth="1"/>
    <col min="16" max="16" width="14" customWidth="1"/>
    <col min="17" max="17" width="15.42578125" customWidth="1"/>
  </cols>
  <sheetData>
    <row r="2" spans="1:11" ht="18.75">
      <c r="A2" s="415" t="s">
        <v>550</v>
      </c>
      <c r="B2" s="415"/>
      <c r="C2" s="415"/>
      <c r="D2" s="415"/>
      <c r="E2" s="415"/>
      <c r="F2" s="415"/>
      <c r="G2" s="415"/>
      <c r="H2" s="415"/>
      <c r="I2" s="415"/>
      <c r="J2" s="415"/>
      <c r="K2" s="415"/>
    </row>
    <row r="4" spans="1:11">
      <c r="A4" s="93"/>
      <c r="B4" s="93"/>
      <c r="C4" s="93"/>
      <c r="D4" s="93"/>
      <c r="E4" s="178">
        <v>1</v>
      </c>
      <c r="F4" s="183">
        <f>(E4*5%)+E4</f>
        <v>1.05</v>
      </c>
      <c r="G4" s="183">
        <f t="shared" ref="G4:K4" si="0">(F4*5%)+F4</f>
        <v>1.1025</v>
      </c>
      <c r="H4" s="183">
        <f t="shared" si="0"/>
        <v>1.1576250000000001</v>
      </c>
      <c r="I4" s="183">
        <f t="shared" si="0"/>
        <v>1.2155062500000002</v>
      </c>
      <c r="J4" s="183">
        <f t="shared" si="0"/>
        <v>1.2762815625000004</v>
      </c>
      <c r="K4" s="183">
        <f t="shared" si="0"/>
        <v>1.3400956406250004</v>
      </c>
    </row>
    <row r="5" spans="1:11">
      <c r="A5" s="93"/>
      <c r="B5" s="93"/>
      <c r="C5" s="93"/>
      <c r="D5" s="93"/>
      <c r="E5" s="93"/>
      <c r="F5" s="93"/>
      <c r="G5" s="93"/>
      <c r="H5" s="93"/>
      <c r="I5" s="93"/>
      <c r="J5" s="93"/>
      <c r="K5" s="93"/>
    </row>
    <row r="6" spans="1:11">
      <c r="A6" s="147" t="s">
        <v>0</v>
      </c>
      <c r="B6" s="147" t="s">
        <v>132</v>
      </c>
      <c r="C6" s="147" t="s">
        <v>389</v>
      </c>
      <c r="D6" s="147" t="s">
        <v>288</v>
      </c>
      <c r="E6" s="119" t="s">
        <v>2</v>
      </c>
      <c r="F6" s="119" t="s">
        <v>3</v>
      </c>
      <c r="G6" s="119" t="s">
        <v>4</v>
      </c>
      <c r="H6" s="119" t="s">
        <v>5</v>
      </c>
      <c r="I6" s="119" t="s">
        <v>6</v>
      </c>
      <c r="J6" s="119" t="s">
        <v>167</v>
      </c>
      <c r="K6" s="119" t="s">
        <v>166</v>
      </c>
    </row>
    <row r="7" spans="1:11">
      <c r="A7" s="94"/>
      <c r="B7" s="94"/>
      <c r="C7" s="94"/>
      <c r="D7" s="94"/>
      <c r="E7" s="94"/>
      <c r="F7" s="94"/>
      <c r="G7" s="94"/>
      <c r="H7" s="94"/>
      <c r="I7" s="94"/>
      <c r="J7" s="94"/>
      <c r="K7" s="94"/>
    </row>
    <row r="8" spans="1:11">
      <c r="A8" s="94" t="s">
        <v>327</v>
      </c>
      <c r="B8" s="94" t="s">
        <v>390</v>
      </c>
      <c r="C8" s="229">
        <v>2</v>
      </c>
      <c r="D8" s="247">
        <v>5000</v>
      </c>
      <c r="E8" s="95">
        <f>$C8*$D8*12*E$4</f>
        <v>120000</v>
      </c>
      <c r="F8" s="95">
        <f t="shared" ref="F8:K8" si="1">$C8*$D8*12*F$4</f>
        <v>126000</v>
      </c>
      <c r="G8" s="95">
        <f t="shared" si="1"/>
        <v>132300</v>
      </c>
      <c r="H8" s="95">
        <f t="shared" si="1"/>
        <v>138915.00000000003</v>
      </c>
      <c r="I8" s="95">
        <f t="shared" si="1"/>
        <v>145860.75000000003</v>
      </c>
      <c r="J8" s="95">
        <f t="shared" si="1"/>
        <v>153153.78750000003</v>
      </c>
      <c r="K8" s="95">
        <f t="shared" si="1"/>
        <v>160811.47687500005</v>
      </c>
    </row>
    <row r="9" spans="1:11">
      <c r="A9" s="94" t="s">
        <v>187</v>
      </c>
      <c r="B9" s="94" t="s">
        <v>390</v>
      </c>
      <c r="C9" s="229">
        <v>2</v>
      </c>
      <c r="D9" s="247">
        <v>5000</v>
      </c>
      <c r="E9" s="95">
        <f>$C9*$D9*12*E$4</f>
        <v>120000</v>
      </c>
      <c r="F9" s="95">
        <f t="shared" ref="F9:K10" si="2">$C9*$D9*12*F$4</f>
        <v>126000</v>
      </c>
      <c r="G9" s="95">
        <f t="shared" si="2"/>
        <v>132300</v>
      </c>
      <c r="H9" s="95">
        <f t="shared" si="2"/>
        <v>138915.00000000003</v>
      </c>
      <c r="I9" s="95">
        <f t="shared" si="2"/>
        <v>145860.75000000003</v>
      </c>
      <c r="J9" s="95">
        <f t="shared" si="2"/>
        <v>153153.78750000003</v>
      </c>
      <c r="K9" s="95">
        <f t="shared" si="2"/>
        <v>160811.47687500005</v>
      </c>
    </row>
    <row r="10" spans="1:11">
      <c r="A10" s="94" t="s">
        <v>192</v>
      </c>
      <c r="B10" s="94" t="s">
        <v>390</v>
      </c>
      <c r="C10" s="229">
        <v>1</v>
      </c>
      <c r="D10" s="247">
        <v>5000</v>
      </c>
      <c r="E10" s="95">
        <f>$C10*$D10*12*E$4</f>
        <v>60000</v>
      </c>
      <c r="F10" s="95">
        <f t="shared" si="2"/>
        <v>63000</v>
      </c>
      <c r="G10" s="95">
        <f t="shared" si="2"/>
        <v>66150</v>
      </c>
      <c r="H10" s="95">
        <f t="shared" si="2"/>
        <v>69457.500000000015</v>
      </c>
      <c r="I10" s="95">
        <f t="shared" si="2"/>
        <v>72930.375000000015</v>
      </c>
      <c r="J10" s="95">
        <f t="shared" si="2"/>
        <v>76576.893750000017</v>
      </c>
      <c r="K10" s="95">
        <f t="shared" si="2"/>
        <v>80405.738437500026</v>
      </c>
    </row>
    <row r="11" spans="1:11">
      <c r="A11" s="94" t="s">
        <v>130</v>
      </c>
      <c r="B11" s="94" t="s">
        <v>391</v>
      </c>
      <c r="C11" s="94">
        <v>12</v>
      </c>
      <c r="D11" s="247">
        <v>5000</v>
      </c>
      <c r="E11" s="95">
        <f>$C11*$D11*E$4</f>
        <v>60000</v>
      </c>
      <c r="F11" s="95">
        <f t="shared" ref="F11:K15" si="3">$C11*$D11*F$4</f>
        <v>63000</v>
      </c>
      <c r="G11" s="95">
        <f t="shared" si="3"/>
        <v>66150</v>
      </c>
      <c r="H11" s="95">
        <f t="shared" si="3"/>
        <v>69457.500000000015</v>
      </c>
      <c r="I11" s="95">
        <f t="shared" si="3"/>
        <v>72930.375000000015</v>
      </c>
      <c r="J11" s="95">
        <f t="shared" si="3"/>
        <v>76576.893750000017</v>
      </c>
      <c r="K11" s="95">
        <f t="shared" si="3"/>
        <v>80405.738437500026</v>
      </c>
    </row>
    <row r="12" spans="1:11">
      <c r="A12" s="94" t="s">
        <v>10</v>
      </c>
      <c r="B12" s="94" t="s">
        <v>391</v>
      </c>
      <c r="C12" s="94">
        <v>12</v>
      </c>
      <c r="D12" s="247">
        <v>5100</v>
      </c>
      <c r="E12" s="95">
        <f t="shared" ref="E12:E15" si="4">$C12*$D12*E$4</f>
        <v>61200</v>
      </c>
      <c r="F12" s="95">
        <f t="shared" si="3"/>
        <v>64260</v>
      </c>
      <c r="G12" s="95">
        <f t="shared" si="3"/>
        <v>67473</v>
      </c>
      <c r="H12" s="95">
        <f t="shared" si="3"/>
        <v>70846.650000000009</v>
      </c>
      <c r="I12" s="95">
        <f t="shared" si="3"/>
        <v>74388.982500000013</v>
      </c>
      <c r="J12" s="95">
        <f t="shared" si="3"/>
        <v>78108.431625000027</v>
      </c>
      <c r="K12" s="95">
        <f t="shared" si="3"/>
        <v>82013.853206250031</v>
      </c>
    </row>
    <row r="13" spans="1:11">
      <c r="A13" s="94" t="s">
        <v>188</v>
      </c>
      <c r="B13" s="94" t="s">
        <v>391</v>
      </c>
      <c r="C13" s="94">
        <v>12</v>
      </c>
      <c r="D13" s="247">
        <v>4200</v>
      </c>
      <c r="E13" s="95">
        <f t="shared" si="4"/>
        <v>50400</v>
      </c>
      <c r="F13" s="95">
        <f t="shared" si="3"/>
        <v>52920</v>
      </c>
      <c r="G13" s="95">
        <f t="shared" si="3"/>
        <v>55566</v>
      </c>
      <c r="H13" s="95">
        <f t="shared" si="3"/>
        <v>58344.3</v>
      </c>
      <c r="I13" s="95">
        <f t="shared" si="3"/>
        <v>61261.515000000014</v>
      </c>
      <c r="J13" s="95">
        <f t="shared" si="3"/>
        <v>64324.590750000018</v>
      </c>
      <c r="K13" s="95">
        <f t="shared" si="3"/>
        <v>67540.820287500028</v>
      </c>
    </row>
    <row r="14" spans="1:11">
      <c r="A14" s="94" t="s">
        <v>158</v>
      </c>
      <c r="B14" s="94" t="s">
        <v>391</v>
      </c>
      <c r="C14" s="94">
        <v>12</v>
      </c>
      <c r="D14" s="247">
        <v>4800</v>
      </c>
      <c r="E14" s="95">
        <f t="shared" si="4"/>
        <v>57600</v>
      </c>
      <c r="F14" s="95">
        <f t="shared" si="3"/>
        <v>60480</v>
      </c>
      <c r="G14" s="95">
        <f t="shared" si="3"/>
        <v>63504</v>
      </c>
      <c r="H14" s="95">
        <f t="shared" si="3"/>
        <v>66679.200000000012</v>
      </c>
      <c r="I14" s="95">
        <f t="shared" si="3"/>
        <v>70013.160000000018</v>
      </c>
      <c r="J14" s="95">
        <f t="shared" si="3"/>
        <v>73513.818000000014</v>
      </c>
      <c r="K14" s="95">
        <f t="shared" si="3"/>
        <v>77189.50890000003</v>
      </c>
    </row>
    <row r="15" spans="1:11">
      <c r="A15" s="94" t="s">
        <v>189</v>
      </c>
      <c r="B15" s="94" t="s">
        <v>391</v>
      </c>
      <c r="C15" s="94">
        <v>12</v>
      </c>
      <c r="D15" s="247">
        <v>4400</v>
      </c>
      <c r="E15" s="95">
        <f t="shared" si="4"/>
        <v>52800</v>
      </c>
      <c r="F15" s="95">
        <f t="shared" si="3"/>
        <v>55440</v>
      </c>
      <c r="G15" s="95">
        <f t="shared" si="3"/>
        <v>58212</v>
      </c>
      <c r="H15" s="95">
        <f t="shared" si="3"/>
        <v>61122.600000000006</v>
      </c>
      <c r="I15" s="95">
        <f t="shared" si="3"/>
        <v>64178.73000000001</v>
      </c>
      <c r="J15" s="95">
        <f t="shared" si="3"/>
        <v>67387.666500000021</v>
      </c>
      <c r="K15" s="95">
        <f t="shared" si="3"/>
        <v>70757.049825000024</v>
      </c>
    </row>
    <row r="16" spans="1:11">
      <c r="A16" s="94" t="s">
        <v>190</v>
      </c>
      <c r="B16" s="94" t="s">
        <v>392</v>
      </c>
      <c r="C16" s="94">
        <v>1</v>
      </c>
      <c r="D16" s="247">
        <v>5000</v>
      </c>
      <c r="E16" s="95">
        <f>$D16*E$4*$C16</f>
        <v>5000</v>
      </c>
      <c r="F16" s="95">
        <f t="shared" ref="F16:K22" si="5">$D16*F$4*$C16</f>
        <v>5250</v>
      </c>
      <c r="G16" s="95">
        <f t="shared" si="5"/>
        <v>5512.5</v>
      </c>
      <c r="H16" s="95">
        <f t="shared" si="5"/>
        <v>5788.1250000000009</v>
      </c>
      <c r="I16" s="95">
        <f t="shared" si="5"/>
        <v>6077.5312500000009</v>
      </c>
      <c r="J16" s="95">
        <f t="shared" si="5"/>
        <v>6381.4078125000015</v>
      </c>
      <c r="K16" s="95">
        <f t="shared" si="5"/>
        <v>6700.4782031250024</v>
      </c>
    </row>
    <row r="17" spans="1:17">
      <c r="A17" s="94"/>
      <c r="B17" s="94"/>
      <c r="C17" s="94"/>
      <c r="D17" s="247"/>
      <c r="E17" s="95">
        <f t="shared" ref="E17:E22" si="6">$D17*E$4*$C17</f>
        <v>0</v>
      </c>
      <c r="F17" s="95">
        <f t="shared" si="5"/>
        <v>0</v>
      </c>
      <c r="G17" s="95">
        <f t="shared" si="5"/>
        <v>0</v>
      </c>
      <c r="H17" s="95">
        <f t="shared" si="5"/>
        <v>0</v>
      </c>
      <c r="I17" s="95">
        <f t="shared" si="5"/>
        <v>0</v>
      </c>
      <c r="J17" s="95">
        <f t="shared" si="5"/>
        <v>0</v>
      </c>
      <c r="K17" s="95">
        <f t="shared" si="5"/>
        <v>0</v>
      </c>
    </row>
    <row r="18" spans="1:17">
      <c r="A18" s="94"/>
      <c r="B18" s="94"/>
      <c r="C18" s="94"/>
      <c r="D18" s="247"/>
      <c r="E18" s="95">
        <f t="shared" si="6"/>
        <v>0</v>
      </c>
      <c r="F18" s="95">
        <f t="shared" si="5"/>
        <v>0</v>
      </c>
      <c r="G18" s="95">
        <f t="shared" si="5"/>
        <v>0</v>
      </c>
      <c r="H18" s="95">
        <f t="shared" si="5"/>
        <v>0</v>
      </c>
      <c r="I18" s="95">
        <f t="shared" si="5"/>
        <v>0</v>
      </c>
      <c r="J18" s="95">
        <f t="shared" si="5"/>
        <v>0</v>
      </c>
      <c r="K18" s="95">
        <f t="shared" si="5"/>
        <v>0</v>
      </c>
    </row>
    <row r="19" spans="1:17">
      <c r="A19" s="94"/>
      <c r="B19" s="94"/>
      <c r="C19" s="94"/>
      <c r="D19" s="247"/>
      <c r="E19" s="95">
        <f t="shared" si="6"/>
        <v>0</v>
      </c>
      <c r="F19" s="95">
        <f t="shared" si="5"/>
        <v>0</v>
      </c>
      <c r="G19" s="95">
        <f t="shared" si="5"/>
        <v>0</v>
      </c>
      <c r="H19" s="95">
        <f t="shared" si="5"/>
        <v>0</v>
      </c>
      <c r="I19" s="95">
        <f t="shared" si="5"/>
        <v>0</v>
      </c>
      <c r="J19" s="95">
        <f t="shared" si="5"/>
        <v>0</v>
      </c>
      <c r="K19" s="95">
        <f t="shared" si="5"/>
        <v>0</v>
      </c>
    </row>
    <row r="20" spans="1:17">
      <c r="A20" s="94"/>
      <c r="B20" s="94"/>
      <c r="C20" s="94"/>
      <c r="D20" s="247"/>
      <c r="E20" s="95">
        <f t="shared" si="6"/>
        <v>0</v>
      </c>
      <c r="F20" s="95">
        <f t="shared" si="5"/>
        <v>0</v>
      </c>
      <c r="G20" s="95">
        <f t="shared" si="5"/>
        <v>0</v>
      </c>
      <c r="H20" s="95">
        <f t="shared" si="5"/>
        <v>0</v>
      </c>
      <c r="I20" s="95">
        <f t="shared" si="5"/>
        <v>0</v>
      </c>
      <c r="J20" s="95">
        <f t="shared" si="5"/>
        <v>0</v>
      </c>
      <c r="K20" s="95">
        <f t="shared" si="5"/>
        <v>0</v>
      </c>
    </row>
    <row r="21" spans="1:17">
      <c r="A21" s="94"/>
      <c r="B21" s="94"/>
      <c r="C21" s="94"/>
      <c r="D21" s="247"/>
      <c r="E21" s="95">
        <f t="shared" si="6"/>
        <v>0</v>
      </c>
      <c r="F21" s="95">
        <f t="shared" si="5"/>
        <v>0</v>
      </c>
      <c r="G21" s="95">
        <f t="shared" si="5"/>
        <v>0</v>
      </c>
      <c r="H21" s="95">
        <f t="shared" si="5"/>
        <v>0</v>
      </c>
      <c r="I21" s="95">
        <f t="shared" si="5"/>
        <v>0</v>
      </c>
      <c r="J21" s="95">
        <f t="shared" si="5"/>
        <v>0</v>
      </c>
      <c r="K21" s="95">
        <f t="shared" si="5"/>
        <v>0</v>
      </c>
    </row>
    <row r="22" spans="1:17">
      <c r="A22" s="94"/>
      <c r="B22" s="94"/>
      <c r="C22" s="94"/>
      <c r="D22" s="95"/>
      <c r="E22" s="95">
        <f t="shared" si="6"/>
        <v>0</v>
      </c>
      <c r="F22" s="95">
        <f t="shared" si="5"/>
        <v>0</v>
      </c>
      <c r="G22" s="95">
        <f t="shared" si="5"/>
        <v>0</v>
      </c>
      <c r="H22" s="95">
        <f t="shared" si="5"/>
        <v>0</v>
      </c>
      <c r="I22" s="95">
        <f t="shared" si="5"/>
        <v>0</v>
      </c>
      <c r="J22" s="95">
        <f t="shared" si="5"/>
        <v>0</v>
      </c>
      <c r="K22" s="95">
        <f t="shared" si="5"/>
        <v>0</v>
      </c>
    </row>
    <row r="23" spans="1:17">
      <c r="A23" s="96" t="s">
        <v>131</v>
      </c>
      <c r="B23" s="96"/>
      <c r="C23" s="96"/>
      <c r="D23" s="114"/>
      <c r="E23" s="114">
        <f>SUM(E8:E22)</f>
        <v>587000</v>
      </c>
      <c r="F23" s="114">
        <f t="shared" ref="F23:K23" si="7">SUM(F8:F22)</f>
        <v>616350</v>
      </c>
      <c r="G23" s="114">
        <f t="shared" si="7"/>
        <v>647167.5</v>
      </c>
      <c r="H23" s="114">
        <f t="shared" si="7"/>
        <v>679525.87500000012</v>
      </c>
      <c r="I23" s="114">
        <f t="shared" si="7"/>
        <v>713502.16875000007</v>
      </c>
      <c r="J23" s="114">
        <f t="shared" si="7"/>
        <v>749177.27718750027</v>
      </c>
      <c r="K23" s="114">
        <f t="shared" si="7"/>
        <v>786636.14104687516</v>
      </c>
    </row>
    <row r="28" spans="1:17">
      <c r="A28" s="430"/>
      <c r="B28" s="430"/>
      <c r="C28" s="430"/>
      <c r="D28" s="430"/>
      <c r="E28" s="430"/>
      <c r="F28" s="430"/>
      <c r="G28" s="430"/>
      <c r="H28" s="430"/>
      <c r="I28" s="430"/>
      <c r="J28" s="430"/>
      <c r="K28" s="430"/>
      <c r="L28" s="430"/>
      <c r="M28" s="430"/>
      <c r="N28" s="430"/>
      <c r="O28" s="430"/>
    </row>
    <row r="29" spans="1:17" ht="18.75">
      <c r="A29" s="428" t="s">
        <v>701</v>
      </c>
      <c r="B29" s="428"/>
      <c r="C29" s="428"/>
      <c r="D29" s="428"/>
      <c r="E29" s="428"/>
      <c r="F29" s="428"/>
      <c r="G29" s="428"/>
      <c r="H29" s="428"/>
      <c r="I29" s="428"/>
      <c r="J29" s="428"/>
      <c r="K29" s="428"/>
      <c r="L29" s="428"/>
      <c r="M29" s="428"/>
      <c r="N29" s="428"/>
      <c r="O29" s="428"/>
      <c r="P29" s="428"/>
      <c r="Q29" s="428"/>
    </row>
    <row r="30" spans="1:17" s="13" customFormat="1">
      <c r="A30" s="148"/>
      <c r="B30" s="148"/>
      <c r="C30" s="148"/>
      <c r="D30" s="148"/>
      <c r="E30" s="148"/>
      <c r="F30" s="148"/>
      <c r="G30" s="148"/>
      <c r="H30" s="148"/>
      <c r="I30" s="148"/>
      <c r="J30" s="148"/>
      <c r="K30" s="148"/>
      <c r="L30" s="148"/>
      <c r="M30" s="148"/>
      <c r="N30" s="148"/>
      <c r="O30" s="148"/>
    </row>
    <row r="31" spans="1:17">
      <c r="A31" s="93"/>
      <c r="B31" s="93"/>
      <c r="C31" s="431" t="s">
        <v>193</v>
      </c>
      <c r="D31" s="431"/>
      <c r="E31" s="431"/>
      <c r="F31" s="431"/>
      <c r="G31" s="431"/>
      <c r="H31" s="431"/>
      <c r="I31" s="431"/>
      <c r="J31" s="93"/>
      <c r="K31" s="432" t="s">
        <v>194</v>
      </c>
      <c r="L31" s="432"/>
      <c r="M31" s="432"/>
      <c r="N31" s="432"/>
      <c r="O31" s="432"/>
      <c r="P31" s="432"/>
      <c r="Q31" s="432"/>
    </row>
    <row r="32" spans="1:17">
      <c r="A32" s="168" t="s">
        <v>0</v>
      </c>
      <c r="B32" s="161"/>
      <c r="C32" s="59" t="s">
        <v>2</v>
      </c>
      <c r="D32" s="59" t="s">
        <v>3</v>
      </c>
      <c r="E32" s="59" t="s">
        <v>4</v>
      </c>
      <c r="F32" s="59" t="s">
        <v>5</v>
      </c>
      <c r="G32" s="59" t="s">
        <v>6</v>
      </c>
      <c r="H32" s="59" t="s">
        <v>167</v>
      </c>
      <c r="I32" s="59" t="s">
        <v>166</v>
      </c>
      <c r="J32" s="169"/>
      <c r="K32" s="59" t="s">
        <v>2</v>
      </c>
      <c r="L32" s="59" t="s">
        <v>3</v>
      </c>
      <c r="M32" s="59" t="s">
        <v>4</v>
      </c>
      <c r="N32" s="59" t="s">
        <v>5</v>
      </c>
      <c r="O32" s="59" t="s">
        <v>6</v>
      </c>
      <c r="P32" s="59" t="s">
        <v>167</v>
      </c>
      <c r="Q32" s="59" t="s">
        <v>166</v>
      </c>
    </row>
    <row r="33" spans="1:17">
      <c r="A33" s="162" t="s">
        <v>195</v>
      </c>
      <c r="B33" s="98"/>
      <c r="C33" s="98"/>
      <c r="D33" s="98"/>
      <c r="E33" s="98"/>
      <c r="F33" s="98"/>
      <c r="G33" s="163"/>
      <c r="H33" s="163"/>
      <c r="I33" s="163"/>
      <c r="J33" s="98"/>
      <c r="K33" s="98"/>
      <c r="L33" s="98"/>
      <c r="M33" s="98"/>
      <c r="N33" s="98"/>
      <c r="O33" s="163"/>
      <c r="P33" s="163"/>
      <c r="Q33" s="163"/>
    </row>
    <row r="34" spans="1:17">
      <c r="A34" s="162"/>
      <c r="B34" s="98"/>
      <c r="C34" s="98"/>
      <c r="D34" s="98"/>
      <c r="E34" s="98"/>
      <c r="F34" s="98"/>
      <c r="G34" s="163"/>
      <c r="H34" s="163"/>
      <c r="I34" s="163"/>
      <c r="J34" s="98"/>
      <c r="K34" s="98"/>
      <c r="L34" s="98"/>
      <c r="M34" s="98"/>
      <c r="N34" s="98"/>
      <c r="O34" s="163"/>
      <c r="P34" s="163"/>
      <c r="Q34" s="163"/>
    </row>
    <row r="35" spans="1:17">
      <c r="A35" s="164"/>
      <c r="B35" s="164"/>
      <c r="C35" s="98"/>
      <c r="D35" s="98"/>
      <c r="E35" s="98"/>
      <c r="F35" s="98"/>
      <c r="G35" s="98"/>
      <c r="H35" s="98"/>
      <c r="I35" s="98"/>
      <c r="J35" s="98"/>
      <c r="K35" s="98"/>
      <c r="L35" s="98"/>
      <c r="M35" s="98"/>
      <c r="N35" s="98"/>
      <c r="O35" s="98"/>
      <c r="P35" s="98"/>
      <c r="Q35" s="98"/>
    </row>
    <row r="36" spans="1:17">
      <c r="A36" s="165" t="s">
        <v>199</v>
      </c>
      <c r="B36" s="165"/>
      <c r="C36" s="98"/>
      <c r="D36" s="98"/>
      <c r="E36" s="98"/>
      <c r="F36" s="98"/>
      <c r="G36" s="98"/>
      <c r="H36" s="98"/>
      <c r="I36" s="98"/>
      <c r="J36" s="98"/>
      <c r="K36" s="98"/>
      <c r="L36" s="98"/>
      <c r="M36" s="98"/>
      <c r="N36" s="98"/>
      <c r="O36" s="98"/>
      <c r="P36" s="98"/>
      <c r="Q36" s="98"/>
    </row>
    <row r="37" spans="1:17">
      <c r="A37" s="164" t="s">
        <v>196</v>
      </c>
      <c r="B37" s="164"/>
      <c r="C37" s="166">
        <f>'1.Project Cost and MOF'!D6</f>
        <v>500000</v>
      </c>
      <c r="D37" s="166">
        <f t="shared" ref="D37:I37" si="8">C40</f>
        <v>484150</v>
      </c>
      <c r="E37" s="166">
        <f t="shared" si="8"/>
        <v>468300</v>
      </c>
      <c r="F37" s="166">
        <f t="shared" si="8"/>
        <v>452450</v>
      </c>
      <c r="G37" s="166">
        <f t="shared" si="8"/>
        <v>436600</v>
      </c>
      <c r="H37" s="166">
        <f t="shared" si="8"/>
        <v>420750</v>
      </c>
      <c r="I37" s="166">
        <f t="shared" si="8"/>
        <v>404900</v>
      </c>
      <c r="J37" s="98"/>
      <c r="K37" s="166">
        <f>C37</f>
        <v>500000</v>
      </c>
      <c r="L37" s="166">
        <f t="shared" ref="L37:Q37" si="9">K40</f>
        <v>450000</v>
      </c>
      <c r="M37" s="166">
        <f t="shared" si="9"/>
        <v>405000</v>
      </c>
      <c r="N37" s="166">
        <f t="shared" si="9"/>
        <v>364500</v>
      </c>
      <c r="O37" s="166">
        <f t="shared" si="9"/>
        <v>328050</v>
      </c>
      <c r="P37" s="166">
        <f t="shared" si="9"/>
        <v>295245</v>
      </c>
      <c r="Q37" s="166">
        <f t="shared" si="9"/>
        <v>265720.5</v>
      </c>
    </row>
    <row r="38" spans="1:17">
      <c r="A38" s="164" t="s">
        <v>17</v>
      </c>
      <c r="B38" s="164"/>
      <c r="C38" s="166">
        <f t="shared" ref="C38:I38" si="10">$C$37*$B$74</f>
        <v>15850</v>
      </c>
      <c r="D38" s="166">
        <f t="shared" si="10"/>
        <v>15850</v>
      </c>
      <c r="E38" s="166">
        <f t="shared" si="10"/>
        <v>15850</v>
      </c>
      <c r="F38" s="166">
        <f t="shared" si="10"/>
        <v>15850</v>
      </c>
      <c r="G38" s="166">
        <f t="shared" si="10"/>
        <v>15850</v>
      </c>
      <c r="H38" s="166">
        <f t="shared" si="10"/>
        <v>15850</v>
      </c>
      <c r="I38" s="166">
        <f t="shared" si="10"/>
        <v>15850</v>
      </c>
      <c r="J38" s="98"/>
      <c r="K38" s="166">
        <f t="shared" ref="K38:Q38" si="11">K37*$C$74</f>
        <v>50000</v>
      </c>
      <c r="L38" s="166">
        <f t="shared" si="11"/>
        <v>45000</v>
      </c>
      <c r="M38" s="166">
        <f t="shared" si="11"/>
        <v>40500</v>
      </c>
      <c r="N38" s="166">
        <f t="shared" si="11"/>
        <v>36450</v>
      </c>
      <c r="O38" s="166">
        <f t="shared" si="11"/>
        <v>32805</v>
      </c>
      <c r="P38" s="166">
        <f t="shared" si="11"/>
        <v>29524.5</v>
      </c>
      <c r="Q38" s="166">
        <f t="shared" si="11"/>
        <v>26572.050000000003</v>
      </c>
    </row>
    <row r="39" spans="1:17">
      <c r="A39" s="164" t="s">
        <v>197</v>
      </c>
      <c r="B39" s="164"/>
      <c r="C39" s="166">
        <f>C38</f>
        <v>15850</v>
      </c>
      <c r="D39" s="166">
        <f t="shared" ref="D39:I39" si="12">C39+D38</f>
        <v>31700</v>
      </c>
      <c r="E39" s="166">
        <f t="shared" si="12"/>
        <v>47550</v>
      </c>
      <c r="F39" s="166">
        <f t="shared" si="12"/>
        <v>63400</v>
      </c>
      <c r="G39" s="166">
        <f t="shared" si="12"/>
        <v>79250</v>
      </c>
      <c r="H39" s="166">
        <f t="shared" si="12"/>
        <v>95100</v>
      </c>
      <c r="I39" s="166">
        <f t="shared" si="12"/>
        <v>110950</v>
      </c>
      <c r="J39" s="98"/>
      <c r="K39" s="166">
        <f>K38</f>
        <v>50000</v>
      </c>
      <c r="L39" s="166">
        <f t="shared" ref="L39:Q39" si="13">K39+L38</f>
        <v>95000</v>
      </c>
      <c r="M39" s="166">
        <f t="shared" si="13"/>
        <v>135500</v>
      </c>
      <c r="N39" s="166">
        <f t="shared" si="13"/>
        <v>171950</v>
      </c>
      <c r="O39" s="166">
        <f t="shared" si="13"/>
        <v>204755</v>
      </c>
      <c r="P39" s="166">
        <f t="shared" si="13"/>
        <v>234279.5</v>
      </c>
      <c r="Q39" s="166">
        <f t="shared" si="13"/>
        <v>260851.55</v>
      </c>
    </row>
    <row r="40" spans="1:17">
      <c r="A40" s="164" t="s">
        <v>198</v>
      </c>
      <c r="B40" s="164"/>
      <c r="C40" s="166">
        <f t="shared" ref="C40:I40" si="14">C37-C38</f>
        <v>484150</v>
      </c>
      <c r="D40" s="166">
        <f t="shared" si="14"/>
        <v>468300</v>
      </c>
      <c r="E40" s="166">
        <f t="shared" si="14"/>
        <v>452450</v>
      </c>
      <c r="F40" s="166">
        <f t="shared" si="14"/>
        <v>436600</v>
      </c>
      <c r="G40" s="166">
        <f t="shared" si="14"/>
        <v>420750</v>
      </c>
      <c r="H40" s="166">
        <f t="shared" si="14"/>
        <v>404900</v>
      </c>
      <c r="I40" s="166">
        <f t="shared" si="14"/>
        <v>389050</v>
      </c>
      <c r="J40" s="98"/>
      <c r="K40" s="166">
        <f t="shared" ref="K40:Q40" si="15">K37-K38</f>
        <v>450000</v>
      </c>
      <c r="L40" s="166">
        <f t="shared" si="15"/>
        <v>405000</v>
      </c>
      <c r="M40" s="166">
        <f t="shared" si="15"/>
        <v>364500</v>
      </c>
      <c r="N40" s="166">
        <f t="shared" si="15"/>
        <v>328050</v>
      </c>
      <c r="O40" s="166">
        <f t="shared" si="15"/>
        <v>295245</v>
      </c>
      <c r="P40" s="166">
        <f t="shared" si="15"/>
        <v>265720.5</v>
      </c>
      <c r="Q40" s="166">
        <f t="shared" si="15"/>
        <v>239148.45</v>
      </c>
    </row>
    <row r="41" spans="1:17">
      <c r="A41" s="164"/>
      <c r="B41" s="164"/>
      <c r="C41" s="166"/>
      <c r="D41" s="166"/>
      <c r="E41" s="166"/>
      <c r="F41" s="166"/>
      <c r="G41" s="166"/>
      <c r="H41" s="166"/>
      <c r="I41" s="166"/>
      <c r="J41" s="98"/>
      <c r="K41" s="166"/>
      <c r="L41" s="166"/>
      <c r="M41" s="166"/>
      <c r="N41" s="166"/>
      <c r="O41" s="166"/>
      <c r="P41" s="166"/>
      <c r="Q41" s="166"/>
    </row>
    <row r="42" spans="1:17">
      <c r="A42" s="165" t="s">
        <v>200</v>
      </c>
      <c r="B42" s="165"/>
      <c r="C42" s="166"/>
      <c r="D42" s="166"/>
      <c r="E42" s="166"/>
      <c r="F42" s="166"/>
      <c r="G42" s="166"/>
      <c r="H42" s="166"/>
      <c r="I42" s="166"/>
      <c r="J42" s="98"/>
      <c r="K42" s="166"/>
      <c r="L42" s="166"/>
      <c r="M42" s="166"/>
      <c r="N42" s="166"/>
      <c r="O42" s="166"/>
      <c r="P42" s="166"/>
      <c r="Q42" s="166"/>
    </row>
    <row r="43" spans="1:17">
      <c r="A43" s="164" t="s">
        <v>196</v>
      </c>
      <c r="B43" s="164"/>
      <c r="C43" s="166">
        <f>'1.Project Cost and MOF'!D7</f>
        <v>1000000.44</v>
      </c>
      <c r="D43" s="166">
        <f t="shared" ref="D43:I43" si="16">C46</f>
        <v>936700.41214799997</v>
      </c>
      <c r="E43" s="166">
        <f t="shared" si="16"/>
        <v>873400.384296</v>
      </c>
      <c r="F43" s="166">
        <f t="shared" si="16"/>
        <v>810100.35644400003</v>
      </c>
      <c r="G43" s="166">
        <f t="shared" si="16"/>
        <v>746800.32859200006</v>
      </c>
      <c r="H43" s="166">
        <f t="shared" si="16"/>
        <v>683500.30074000009</v>
      </c>
      <c r="I43" s="166">
        <f t="shared" si="16"/>
        <v>620200.27288800012</v>
      </c>
      <c r="J43" s="98"/>
      <c r="K43" s="166">
        <f>C43</f>
        <v>1000000.44</v>
      </c>
      <c r="L43" s="166">
        <f t="shared" ref="L43:Q43" si="17">K46</f>
        <v>850000.37399999995</v>
      </c>
      <c r="M43" s="166">
        <f t="shared" si="17"/>
        <v>722500.31789999991</v>
      </c>
      <c r="N43" s="166">
        <f t="shared" si="17"/>
        <v>614125.27021499991</v>
      </c>
      <c r="O43" s="166">
        <f t="shared" si="17"/>
        <v>522006.47968274995</v>
      </c>
      <c r="P43" s="166">
        <f t="shared" si="17"/>
        <v>443705.50773033744</v>
      </c>
      <c r="Q43" s="166">
        <f t="shared" si="17"/>
        <v>377149.68157078681</v>
      </c>
    </row>
    <row r="44" spans="1:17">
      <c r="A44" s="164" t="s">
        <v>17</v>
      </c>
      <c r="B44" s="164"/>
      <c r="C44" s="166">
        <f t="shared" ref="C44:I44" si="18">$C$43*$B$78</f>
        <v>63300.027851999992</v>
      </c>
      <c r="D44" s="166">
        <f t="shared" si="18"/>
        <v>63300.027851999992</v>
      </c>
      <c r="E44" s="166">
        <f t="shared" si="18"/>
        <v>63300.027851999992</v>
      </c>
      <c r="F44" s="166">
        <f t="shared" si="18"/>
        <v>63300.027851999992</v>
      </c>
      <c r="G44" s="166">
        <f t="shared" si="18"/>
        <v>63300.027851999992</v>
      </c>
      <c r="H44" s="166">
        <f t="shared" si="18"/>
        <v>63300.027851999992</v>
      </c>
      <c r="I44" s="166">
        <f t="shared" si="18"/>
        <v>63300.027851999992</v>
      </c>
      <c r="J44" s="98"/>
      <c r="K44" s="166">
        <f t="shared" ref="K44:Q44" si="19">K43*$C$78</f>
        <v>150000.06599999999</v>
      </c>
      <c r="L44" s="166">
        <f t="shared" si="19"/>
        <v>127500.05609999999</v>
      </c>
      <c r="M44" s="166">
        <f t="shared" si="19"/>
        <v>108375.04768499998</v>
      </c>
      <c r="N44" s="166">
        <f t="shared" si="19"/>
        <v>92118.790532249986</v>
      </c>
      <c r="O44" s="166">
        <f t="shared" si="19"/>
        <v>78300.971952412496</v>
      </c>
      <c r="P44" s="166">
        <f t="shared" si="19"/>
        <v>66555.826159550619</v>
      </c>
      <c r="Q44" s="166">
        <f t="shared" si="19"/>
        <v>56572.452235618017</v>
      </c>
    </row>
    <row r="45" spans="1:17">
      <c r="A45" s="164" t="s">
        <v>197</v>
      </c>
      <c r="B45" s="164"/>
      <c r="C45" s="166">
        <f>C44</f>
        <v>63300.027851999992</v>
      </c>
      <c r="D45" s="166">
        <f t="shared" ref="D45:I45" si="20">C45+D44</f>
        <v>126600.05570399998</v>
      </c>
      <c r="E45" s="166">
        <f t="shared" si="20"/>
        <v>189900.08355599997</v>
      </c>
      <c r="F45" s="166">
        <f t="shared" si="20"/>
        <v>253200.11140799997</v>
      </c>
      <c r="G45" s="166">
        <f t="shared" si="20"/>
        <v>316500.13925999997</v>
      </c>
      <c r="H45" s="166">
        <f t="shared" si="20"/>
        <v>379800.16711199994</v>
      </c>
      <c r="I45" s="166">
        <f t="shared" si="20"/>
        <v>443100.19496399991</v>
      </c>
      <c r="J45" s="98"/>
      <c r="K45" s="166">
        <f>K44</f>
        <v>150000.06599999999</v>
      </c>
      <c r="L45" s="166">
        <f t="shared" ref="L45:Q45" si="21">K45+L44</f>
        <v>277500.12209999998</v>
      </c>
      <c r="M45" s="166">
        <f t="shared" si="21"/>
        <v>385875.16978499998</v>
      </c>
      <c r="N45" s="166">
        <f t="shared" si="21"/>
        <v>477993.96031724999</v>
      </c>
      <c r="O45" s="166">
        <f t="shared" si="21"/>
        <v>556294.9322696625</v>
      </c>
      <c r="P45" s="166">
        <f t="shared" si="21"/>
        <v>622850.75842921308</v>
      </c>
      <c r="Q45" s="166">
        <f t="shared" si="21"/>
        <v>679423.2106648311</v>
      </c>
    </row>
    <row r="46" spans="1:17">
      <c r="A46" s="164" t="s">
        <v>198</v>
      </c>
      <c r="B46" s="164"/>
      <c r="C46" s="166">
        <f t="shared" ref="C46:I46" si="22">C43-C44</f>
        <v>936700.41214799997</v>
      </c>
      <c r="D46" s="166">
        <f t="shared" si="22"/>
        <v>873400.384296</v>
      </c>
      <c r="E46" s="166">
        <f t="shared" si="22"/>
        <v>810100.35644400003</v>
      </c>
      <c r="F46" s="166">
        <f t="shared" si="22"/>
        <v>746800.32859200006</v>
      </c>
      <c r="G46" s="166">
        <f t="shared" si="22"/>
        <v>683500.30074000009</v>
      </c>
      <c r="H46" s="166">
        <f t="shared" si="22"/>
        <v>620200.27288800012</v>
      </c>
      <c r="I46" s="166">
        <f t="shared" si="22"/>
        <v>556900.24503600015</v>
      </c>
      <c r="J46" s="98"/>
      <c r="K46" s="166">
        <f t="shared" ref="K46:Q46" si="23">K43-K44</f>
        <v>850000.37399999995</v>
      </c>
      <c r="L46" s="166">
        <f t="shared" si="23"/>
        <v>722500.31789999991</v>
      </c>
      <c r="M46" s="166">
        <f t="shared" si="23"/>
        <v>614125.27021499991</v>
      </c>
      <c r="N46" s="166">
        <f t="shared" si="23"/>
        <v>522006.47968274995</v>
      </c>
      <c r="O46" s="166">
        <f t="shared" si="23"/>
        <v>443705.50773033744</v>
      </c>
      <c r="P46" s="166">
        <f t="shared" si="23"/>
        <v>377149.68157078681</v>
      </c>
      <c r="Q46" s="166">
        <f t="shared" si="23"/>
        <v>320577.22933516878</v>
      </c>
    </row>
    <row r="47" spans="1:17">
      <c r="A47" s="164"/>
      <c r="B47" s="164"/>
      <c r="C47" s="166"/>
      <c r="D47" s="166"/>
      <c r="E47" s="166"/>
      <c r="F47" s="166"/>
      <c r="G47" s="166"/>
      <c r="H47" s="166"/>
      <c r="I47" s="166"/>
      <c r="J47" s="98"/>
      <c r="K47" s="166"/>
      <c r="L47" s="166"/>
      <c r="M47" s="166"/>
      <c r="N47" s="166"/>
      <c r="O47" s="166"/>
      <c r="P47" s="166"/>
      <c r="Q47" s="166"/>
    </row>
    <row r="48" spans="1:17">
      <c r="A48" s="165" t="s">
        <v>201</v>
      </c>
      <c r="B48" s="165"/>
      <c r="C48" s="166"/>
      <c r="D48" s="166"/>
      <c r="E48" s="166"/>
      <c r="F48" s="166"/>
      <c r="G48" s="166"/>
      <c r="H48" s="166"/>
      <c r="I48" s="166"/>
      <c r="J48" s="98"/>
      <c r="K48" s="166"/>
      <c r="L48" s="166"/>
      <c r="M48" s="166"/>
      <c r="N48" s="166"/>
      <c r="O48" s="166"/>
      <c r="P48" s="166"/>
      <c r="Q48" s="166"/>
    </row>
    <row r="49" spans="1:17">
      <c r="A49" s="164" t="s">
        <v>196</v>
      </c>
      <c r="B49" s="164"/>
      <c r="C49" s="166">
        <f>'1.Project Cost and MOF'!D8</f>
        <v>10000</v>
      </c>
      <c r="D49" s="166">
        <f t="shared" ref="D49:I49" si="24">C52</f>
        <v>9000</v>
      </c>
      <c r="E49" s="166">
        <f t="shared" si="24"/>
        <v>8000</v>
      </c>
      <c r="F49" s="166">
        <f t="shared" si="24"/>
        <v>7000</v>
      </c>
      <c r="G49" s="166">
        <f t="shared" si="24"/>
        <v>6000</v>
      </c>
      <c r="H49" s="166">
        <f t="shared" si="24"/>
        <v>5000</v>
      </c>
      <c r="I49" s="166">
        <f t="shared" si="24"/>
        <v>4000</v>
      </c>
      <c r="J49" s="98"/>
      <c r="K49" s="166">
        <f>C49</f>
        <v>10000</v>
      </c>
      <c r="L49" s="166">
        <f t="shared" ref="L49:Q49" si="25">K52</f>
        <v>9000</v>
      </c>
      <c r="M49" s="166">
        <f t="shared" si="25"/>
        <v>8100</v>
      </c>
      <c r="N49" s="166">
        <f t="shared" si="25"/>
        <v>7290</v>
      </c>
      <c r="O49" s="166">
        <f t="shared" si="25"/>
        <v>6561</v>
      </c>
      <c r="P49" s="166">
        <f t="shared" si="25"/>
        <v>5904.9</v>
      </c>
      <c r="Q49" s="166">
        <f t="shared" si="25"/>
        <v>5314.41</v>
      </c>
    </row>
    <row r="50" spans="1:17">
      <c r="A50" s="164" t="s">
        <v>17</v>
      </c>
      <c r="B50" s="164"/>
      <c r="C50" s="166">
        <f t="shared" ref="C50:I50" si="26">$C$49*$B$75</f>
        <v>1000</v>
      </c>
      <c r="D50" s="166">
        <f t="shared" si="26"/>
        <v>1000</v>
      </c>
      <c r="E50" s="166">
        <f t="shared" si="26"/>
        <v>1000</v>
      </c>
      <c r="F50" s="166">
        <f t="shared" si="26"/>
        <v>1000</v>
      </c>
      <c r="G50" s="166">
        <f t="shared" si="26"/>
        <v>1000</v>
      </c>
      <c r="H50" s="166">
        <f t="shared" si="26"/>
        <v>1000</v>
      </c>
      <c r="I50" s="166">
        <f t="shared" si="26"/>
        <v>1000</v>
      </c>
      <c r="J50" s="98"/>
      <c r="K50" s="166">
        <f t="shared" ref="K50:Q50" si="27">K49*$C$75</f>
        <v>1000</v>
      </c>
      <c r="L50" s="166">
        <f t="shared" si="27"/>
        <v>900</v>
      </c>
      <c r="M50" s="166">
        <f t="shared" si="27"/>
        <v>810</v>
      </c>
      <c r="N50" s="166">
        <f t="shared" si="27"/>
        <v>729</v>
      </c>
      <c r="O50" s="166">
        <f t="shared" si="27"/>
        <v>656.1</v>
      </c>
      <c r="P50" s="166">
        <f t="shared" si="27"/>
        <v>590.49</v>
      </c>
      <c r="Q50" s="166">
        <f t="shared" si="27"/>
        <v>531.44100000000003</v>
      </c>
    </row>
    <row r="51" spans="1:17">
      <c r="A51" s="164" t="s">
        <v>197</v>
      </c>
      <c r="B51" s="164"/>
      <c r="C51" s="166">
        <f>C50</f>
        <v>1000</v>
      </c>
      <c r="D51" s="166">
        <f t="shared" ref="D51:I51" si="28">C51+D50</f>
        <v>2000</v>
      </c>
      <c r="E51" s="166">
        <f t="shared" si="28"/>
        <v>3000</v>
      </c>
      <c r="F51" s="166">
        <f t="shared" si="28"/>
        <v>4000</v>
      </c>
      <c r="G51" s="166">
        <f t="shared" si="28"/>
        <v>5000</v>
      </c>
      <c r="H51" s="166">
        <f t="shared" si="28"/>
        <v>6000</v>
      </c>
      <c r="I51" s="166">
        <f t="shared" si="28"/>
        <v>7000</v>
      </c>
      <c r="J51" s="98"/>
      <c r="K51" s="166">
        <f>K50</f>
        <v>1000</v>
      </c>
      <c r="L51" s="166">
        <f t="shared" ref="L51:Q51" si="29">K51+L50</f>
        <v>1900</v>
      </c>
      <c r="M51" s="166">
        <f t="shared" si="29"/>
        <v>2710</v>
      </c>
      <c r="N51" s="166">
        <f t="shared" si="29"/>
        <v>3439</v>
      </c>
      <c r="O51" s="166">
        <f t="shared" si="29"/>
        <v>4095.1</v>
      </c>
      <c r="P51" s="166">
        <f t="shared" si="29"/>
        <v>4685.59</v>
      </c>
      <c r="Q51" s="166">
        <f t="shared" si="29"/>
        <v>5217.0309999999999</v>
      </c>
    </row>
    <row r="52" spans="1:17">
      <c r="A52" s="164" t="s">
        <v>198</v>
      </c>
      <c r="B52" s="164"/>
      <c r="C52" s="166">
        <f t="shared" ref="C52:I52" si="30">C49-C50</f>
        <v>9000</v>
      </c>
      <c r="D52" s="166">
        <f t="shared" si="30"/>
        <v>8000</v>
      </c>
      <c r="E52" s="166">
        <f t="shared" si="30"/>
        <v>7000</v>
      </c>
      <c r="F52" s="166">
        <f t="shared" si="30"/>
        <v>6000</v>
      </c>
      <c r="G52" s="166">
        <f t="shared" si="30"/>
        <v>5000</v>
      </c>
      <c r="H52" s="166">
        <f t="shared" si="30"/>
        <v>4000</v>
      </c>
      <c r="I52" s="166">
        <f t="shared" si="30"/>
        <v>3000</v>
      </c>
      <c r="J52" s="98"/>
      <c r="K52" s="166">
        <f t="shared" ref="K52:Q52" si="31">K49-K50</f>
        <v>9000</v>
      </c>
      <c r="L52" s="166">
        <f t="shared" si="31"/>
        <v>8100</v>
      </c>
      <c r="M52" s="166">
        <f t="shared" si="31"/>
        <v>7290</v>
      </c>
      <c r="N52" s="166">
        <f t="shared" si="31"/>
        <v>6561</v>
      </c>
      <c r="O52" s="166">
        <f t="shared" si="31"/>
        <v>5904.9</v>
      </c>
      <c r="P52" s="166">
        <f t="shared" si="31"/>
        <v>5314.41</v>
      </c>
      <c r="Q52" s="166">
        <f t="shared" si="31"/>
        <v>4782.9690000000001</v>
      </c>
    </row>
    <row r="53" spans="1:17">
      <c r="A53" s="164"/>
      <c r="B53" s="164"/>
      <c r="C53" s="166"/>
      <c r="D53" s="166"/>
      <c r="E53" s="166"/>
      <c r="F53" s="166"/>
      <c r="G53" s="166"/>
      <c r="H53" s="166"/>
      <c r="I53" s="166"/>
      <c r="J53" s="98"/>
      <c r="K53" s="166"/>
      <c r="L53" s="166"/>
      <c r="M53" s="166"/>
      <c r="N53" s="166"/>
      <c r="O53" s="166"/>
      <c r="P53" s="166"/>
      <c r="Q53" s="166"/>
    </row>
    <row r="54" spans="1:17">
      <c r="A54" s="165" t="s">
        <v>157</v>
      </c>
      <c r="B54" s="165"/>
      <c r="C54" s="166"/>
      <c r="D54" s="166"/>
      <c r="E54" s="166"/>
      <c r="F54" s="166"/>
      <c r="G54" s="166"/>
      <c r="H54" s="166"/>
      <c r="I54" s="166"/>
      <c r="J54" s="98"/>
      <c r="K54" s="166"/>
      <c r="L54" s="166"/>
      <c r="M54" s="166"/>
      <c r="N54" s="166"/>
      <c r="O54" s="166"/>
      <c r="P54" s="166"/>
      <c r="Q54" s="166"/>
    </row>
    <row r="55" spans="1:17">
      <c r="A55" s="164" t="s">
        <v>196</v>
      </c>
      <c r="B55" s="164"/>
      <c r="C55" s="166">
        <f>'1.Project Cost and MOF'!D10</f>
        <v>0</v>
      </c>
      <c r="D55" s="166">
        <f t="shared" ref="D55:I55" si="32">C58</f>
        <v>0</v>
      </c>
      <c r="E55" s="166">
        <f t="shared" si="32"/>
        <v>0</v>
      </c>
      <c r="F55" s="166">
        <f t="shared" si="32"/>
        <v>0</v>
      </c>
      <c r="G55" s="166">
        <f t="shared" si="32"/>
        <v>0</v>
      </c>
      <c r="H55" s="166">
        <f t="shared" si="32"/>
        <v>0</v>
      </c>
      <c r="I55" s="166">
        <f t="shared" si="32"/>
        <v>0</v>
      </c>
      <c r="J55" s="98"/>
      <c r="K55" s="166">
        <f>C55</f>
        <v>0</v>
      </c>
      <c r="L55" s="166">
        <f t="shared" ref="L55:Q55" si="33">K58</f>
        <v>0</v>
      </c>
      <c r="M55" s="166">
        <f t="shared" si="33"/>
        <v>0</v>
      </c>
      <c r="N55" s="166">
        <f t="shared" si="33"/>
        <v>0</v>
      </c>
      <c r="O55" s="166">
        <f t="shared" si="33"/>
        <v>0</v>
      </c>
      <c r="P55" s="166">
        <f t="shared" si="33"/>
        <v>0</v>
      </c>
      <c r="Q55" s="166">
        <f t="shared" si="33"/>
        <v>0</v>
      </c>
    </row>
    <row r="56" spans="1:17">
      <c r="A56" s="164" t="s">
        <v>17</v>
      </c>
      <c r="B56" s="164"/>
      <c r="C56" s="166">
        <f t="shared" ref="C56:I56" si="34">$C$55*$B$77</f>
        <v>0</v>
      </c>
      <c r="D56" s="166">
        <f t="shared" si="34"/>
        <v>0</v>
      </c>
      <c r="E56" s="166">
        <f t="shared" si="34"/>
        <v>0</v>
      </c>
      <c r="F56" s="166">
        <f t="shared" si="34"/>
        <v>0</v>
      </c>
      <c r="G56" s="166">
        <f t="shared" si="34"/>
        <v>0</v>
      </c>
      <c r="H56" s="166">
        <f t="shared" si="34"/>
        <v>0</v>
      </c>
      <c r="I56" s="166">
        <f t="shared" si="34"/>
        <v>0</v>
      </c>
      <c r="J56" s="98"/>
      <c r="K56" s="166">
        <f t="shared" ref="K56:Q56" si="35">K55*$C$77</f>
        <v>0</v>
      </c>
      <c r="L56" s="166">
        <f t="shared" si="35"/>
        <v>0</v>
      </c>
      <c r="M56" s="166">
        <f t="shared" si="35"/>
        <v>0</v>
      </c>
      <c r="N56" s="166">
        <f t="shared" si="35"/>
        <v>0</v>
      </c>
      <c r="O56" s="166">
        <f t="shared" si="35"/>
        <v>0</v>
      </c>
      <c r="P56" s="166">
        <f t="shared" si="35"/>
        <v>0</v>
      </c>
      <c r="Q56" s="166">
        <f t="shared" si="35"/>
        <v>0</v>
      </c>
    </row>
    <row r="57" spans="1:17">
      <c r="A57" s="164" t="s">
        <v>197</v>
      </c>
      <c r="B57" s="164"/>
      <c r="C57" s="166">
        <f>C56</f>
        <v>0</v>
      </c>
      <c r="D57" s="166">
        <f t="shared" ref="D57:I57" si="36">C57+D56</f>
        <v>0</v>
      </c>
      <c r="E57" s="166">
        <f t="shared" si="36"/>
        <v>0</v>
      </c>
      <c r="F57" s="166">
        <f t="shared" si="36"/>
        <v>0</v>
      </c>
      <c r="G57" s="166">
        <f t="shared" si="36"/>
        <v>0</v>
      </c>
      <c r="H57" s="166">
        <f t="shared" si="36"/>
        <v>0</v>
      </c>
      <c r="I57" s="166">
        <f t="shared" si="36"/>
        <v>0</v>
      </c>
      <c r="J57" s="98"/>
      <c r="K57" s="166">
        <f>K56</f>
        <v>0</v>
      </c>
      <c r="L57" s="166">
        <f t="shared" ref="L57:Q57" si="37">K57+L56</f>
        <v>0</v>
      </c>
      <c r="M57" s="166">
        <f t="shared" si="37"/>
        <v>0</v>
      </c>
      <c r="N57" s="166">
        <f t="shared" si="37"/>
        <v>0</v>
      </c>
      <c r="O57" s="166">
        <f t="shared" si="37"/>
        <v>0</v>
      </c>
      <c r="P57" s="166">
        <f t="shared" si="37"/>
        <v>0</v>
      </c>
      <c r="Q57" s="166">
        <f t="shared" si="37"/>
        <v>0</v>
      </c>
    </row>
    <row r="58" spans="1:17">
      <c r="A58" s="164" t="s">
        <v>198</v>
      </c>
      <c r="B58" s="164"/>
      <c r="C58" s="166">
        <f t="shared" ref="C58:I58" si="38">C55-C56</f>
        <v>0</v>
      </c>
      <c r="D58" s="166">
        <f t="shared" si="38"/>
        <v>0</v>
      </c>
      <c r="E58" s="166">
        <f t="shared" si="38"/>
        <v>0</v>
      </c>
      <c r="F58" s="166">
        <f t="shared" si="38"/>
        <v>0</v>
      </c>
      <c r="G58" s="166">
        <f t="shared" si="38"/>
        <v>0</v>
      </c>
      <c r="H58" s="166">
        <f t="shared" si="38"/>
        <v>0</v>
      </c>
      <c r="I58" s="166">
        <f t="shared" si="38"/>
        <v>0</v>
      </c>
      <c r="J58" s="98"/>
      <c r="K58" s="166">
        <f t="shared" ref="K58:Q58" si="39">K55-K56</f>
        <v>0</v>
      </c>
      <c r="L58" s="166">
        <f t="shared" si="39"/>
        <v>0</v>
      </c>
      <c r="M58" s="166">
        <f t="shared" si="39"/>
        <v>0</v>
      </c>
      <c r="N58" s="166">
        <f t="shared" si="39"/>
        <v>0</v>
      </c>
      <c r="O58" s="166">
        <f t="shared" si="39"/>
        <v>0</v>
      </c>
      <c r="P58" s="166">
        <f t="shared" si="39"/>
        <v>0</v>
      </c>
      <c r="Q58" s="166">
        <f t="shared" si="39"/>
        <v>0</v>
      </c>
    </row>
    <row r="59" spans="1:17">
      <c r="A59" s="164"/>
      <c r="B59" s="164"/>
      <c r="C59" s="166"/>
      <c r="D59" s="166"/>
      <c r="E59" s="166"/>
      <c r="F59" s="166"/>
      <c r="G59" s="166"/>
      <c r="H59" s="166"/>
      <c r="I59" s="166"/>
      <c r="J59" s="98"/>
      <c r="K59" s="166"/>
      <c r="L59" s="166"/>
      <c r="M59" s="166"/>
      <c r="N59" s="166"/>
      <c r="O59" s="166"/>
      <c r="P59" s="166"/>
      <c r="Q59" s="166"/>
    </row>
    <row r="60" spans="1:17">
      <c r="A60" s="322" t="s">
        <v>329</v>
      </c>
      <c r="B60" s="164"/>
      <c r="C60" s="166"/>
      <c r="D60" s="166"/>
      <c r="E60" s="166"/>
      <c r="F60" s="166"/>
      <c r="G60" s="166"/>
      <c r="H60" s="166"/>
      <c r="I60" s="166"/>
      <c r="J60" s="98"/>
      <c r="K60" s="166"/>
      <c r="L60" s="166"/>
      <c r="M60" s="166"/>
      <c r="N60" s="166"/>
      <c r="O60" s="166"/>
      <c r="P60" s="166"/>
      <c r="Q60" s="166"/>
    </row>
    <row r="61" spans="1:17">
      <c r="A61" s="164" t="str">
        <f>A55</f>
        <v>Asset Value</v>
      </c>
      <c r="B61" s="164"/>
      <c r="C61" s="166">
        <f>'1.Project Cost and MOF'!D9</f>
        <v>10000</v>
      </c>
      <c r="D61" s="166">
        <f t="shared" ref="D61:I61" si="40">C64</f>
        <v>9000</v>
      </c>
      <c r="E61" s="166">
        <f t="shared" si="40"/>
        <v>8000</v>
      </c>
      <c r="F61" s="166">
        <f t="shared" si="40"/>
        <v>7000</v>
      </c>
      <c r="G61" s="166">
        <f t="shared" si="40"/>
        <v>6000</v>
      </c>
      <c r="H61" s="166">
        <f t="shared" si="40"/>
        <v>5000</v>
      </c>
      <c r="I61" s="166">
        <f t="shared" si="40"/>
        <v>4000</v>
      </c>
      <c r="J61" s="98"/>
      <c r="K61" s="166">
        <f>C61</f>
        <v>10000</v>
      </c>
      <c r="L61" s="166">
        <f t="shared" ref="L61:Q61" si="41">K64</f>
        <v>6000</v>
      </c>
      <c r="M61" s="166">
        <f t="shared" si="41"/>
        <v>3600</v>
      </c>
      <c r="N61" s="166">
        <f t="shared" si="41"/>
        <v>2160</v>
      </c>
      <c r="O61" s="166">
        <f t="shared" si="41"/>
        <v>1296</v>
      </c>
      <c r="P61" s="166">
        <f t="shared" si="41"/>
        <v>777.6</v>
      </c>
      <c r="Q61" s="166">
        <f t="shared" si="41"/>
        <v>466.56</v>
      </c>
    </row>
    <row r="62" spans="1:17">
      <c r="A62" s="164" t="str">
        <f>A56</f>
        <v>Depreciation</v>
      </c>
      <c r="B62" s="164"/>
      <c r="C62" s="166">
        <f t="shared" ref="C62:I62" si="42">$C$61*$B$76</f>
        <v>1000</v>
      </c>
      <c r="D62" s="166">
        <f t="shared" si="42"/>
        <v>1000</v>
      </c>
      <c r="E62" s="166">
        <f t="shared" si="42"/>
        <v>1000</v>
      </c>
      <c r="F62" s="166">
        <f t="shared" si="42"/>
        <v>1000</v>
      </c>
      <c r="G62" s="166">
        <f t="shared" si="42"/>
        <v>1000</v>
      </c>
      <c r="H62" s="166">
        <f t="shared" si="42"/>
        <v>1000</v>
      </c>
      <c r="I62" s="166">
        <f t="shared" si="42"/>
        <v>1000</v>
      </c>
      <c r="J62" s="98"/>
      <c r="K62" s="166">
        <f t="shared" ref="K62:Q62" si="43">K61*$C$76</f>
        <v>4000</v>
      </c>
      <c r="L62" s="166">
        <f t="shared" si="43"/>
        <v>2400</v>
      </c>
      <c r="M62" s="166">
        <f t="shared" si="43"/>
        <v>1440</v>
      </c>
      <c r="N62" s="166">
        <f t="shared" si="43"/>
        <v>864</v>
      </c>
      <c r="O62" s="166">
        <f t="shared" si="43"/>
        <v>518.4</v>
      </c>
      <c r="P62" s="166">
        <f t="shared" si="43"/>
        <v>311.04000000000002</v>
      </c>
      <c r="Q62" s="166">
        <f t="shared" si="43"/>
        <v>186.62400000000002</v>
      </c>
    </row>
    <row r="63" spans="1:17">
      <c r="A63" s="164" t="str">
        <f>A57</f>
        <v>Accumulated Depreciation</v>
      </c>
      <c r="B63" s="164"/>
      <c r="C63" s="166">
        <f>C62</f>
        <v>1000</v>
      </c>
      <c r="D63" s="166">
        <f t="shared" ref="D63:I63" si="44">D62+C63</f>
        <v>2000</v>
      </c>
      <c r="E63" s="166">
        <f t="shared" si="44"/>
        <v>3000</v>
      </c>
      <c r="F63" s="166">
        <f t="shared" si="44"/>
        <v>4000</v>
      </c>
      <c r="G63" s="166">
        <f t="shared" si="44"/>
        <v>5000</v>
      </c>
      <c r="H63" s="166">
        <f t="shared" si="44"/>
        <v>6000</v>
      </c>
      <c r="I63" s="166">
        <f t="shared" si="44"/>
        <v>7000</v>
      </c>
      <c r="J63" s="98"/>
      <c r="K63" s="166">
        <f>K62</f>
        <v>4000</v>
      </c>
      <c r="L63" s="166">
        <f t="shared" ref="L63:Q63" si="45">L62+K63</f>
        <v>6400</v>
      </c>
      <c r="M63" s="166">
        <f t="shared" si="45"/>
        <v>7840</v>
      </c>
      <c r="N63" s="166">
        <f t="shared" si="45"/>
        <v>8704</v>
      </c>
      <c r="O63" s="166">
        <f t="shared" si="45"/>
        <v>9222.4</v>
      </c>
      <c r="P63" s="166">
        <f t="shared" si="45"/>
        <v>9533.44</v>
      </c>
      <c r="Q63" s="166">
        <f t="shared" si="45"/>
        <v>9720.0640000000003</v>
      </c>
    </row>
    <row r="64" spans="1:17">
      <c r="A64" s="164" t="str">
        <f>A58</f>
        <v>Net Fixed Assets</v>
      </c>
      <c r="B64" s="164"/>
      <c r="C64" s="166">
        <f t="shared" ref="C64:I64" si="46">C61-C62</f>
        <v>9000</v>
      </c>
      <c r="D64" s="166">
        <f t="shared" si="46"/>
        <v>8000</v>
      </c>
      <c r="E64" s="166">
        <f t="shared" si="46"/>
        <v>7000</v>
      </c>
      <c r="F64" s="166">
        <f t="shared" si="46"/>
        <v>6000</v>
      </c>
      <c r="G64" s="166">
        <f t="shared" si="46"/>
        <v>5000</v>
      </c>
      <c r="H64" s="166">
        <f t="shared" si="46"/>
        <v>4000</v>
      </c>
      <c r="I64" s="166">
        <f t="shared" si="46"/>
        <v>3000</v>
      </c>
      <c r="J64" s="98"/>
      <c r="K64" s="166">
        <f t="shared" ref="K64:Q64" si="47">K61-K62</f>
        <v>6000</v>
      </c>
      <c r="L64" s="166">
        <f t="shared" si="47"/>
        <v>3600</v>
      </c>
      <c r="M64" s="166">
        <f t="shared" si="47"/>
        <v>2160</v>
      </c>
      <c r="N64" s="166">
        <f t="shared" si="47"/>
        <v>1296</v>
      </c>
      <c r="O64" s="166">
        <f t="shared" si="47"/>
        <v>777.6</v>
      </c>
      <c r="P64" s="166">
        <f t="shared" si="47"/>
        <v>466.56</v>
      </c>
      <c r="Q64" s="166">
        <f t="shared" si="47"/>
        <v>279.93599999999998</v>
      </c>
    </row>
    <row r="65" spans="1:17">
      <c r="A65" s="165" t="s">
        <v>202</v>
      </c>
      <c r="B65" s="165"/>
      <c r="C65" s="167">
        <f t="shared" ref="C65:I68" si="48">C49+C43+C37+C55+C61</f>
        <v>1520000.44</v>
      </c>
      <c r="D65" s="167">
        <f t="shared" si="48"/>
        <v>1438850.412148</v>
      </c>
      <c r="E65" s="167">
        <f t="shared" si="48"/>
        <v>1357700.384296</v>
      </c>
      <c r="F65" s="167">
        <f t="shared" si="48"/>
        <v>1276550.356444</v>
      </c>
      <c r="G65" s="167">
        <f t="shared" si="48"/>
        <v>1195400.3285920001</v>
      </c>
      <c r="H65" s="167">
        <f t="shared" si="48"/>
        <v>1114250.3007400001</v>
      </c>
      <c r="I65" s="167">
        <f t="shared" si="48"/>
        <v>1033100.2728880001</v>
      </c>
      <c r="J65" s="98"/>
      <c r="K65" s="167">
        <f t="shared" ref="K65:Q68" si="49">K49+K43+K37+K55+K61</f>
        <v>1520000.44</v>
      </c>
      <c r="L65" s="167">
        <f t="shared" si="49"/>
        <v>1315000.3739999998</v>
      </c>
      <c r="M65" s="167">
        <f t="shared" si="49"/>
        <v>1139200.3178999999</v>
      </c>
      <c r="N65" s="167">
        <f t="shared" si="49"/>
        <v>988075.27021499991</v>
      </c>
      <c r="O65" s="167">
        <f t="shared" si="49"/>
        <v>857913.47968274995</v>
      </c>
      <c r="P65" s="167">
        <f t="shared" si="49"/>
        <v>745633.00773033744</v>
      </c>
      <c r="Q65" s="167">
        <f t="shared" si="49"/>
        <v>648651.15157078684</v>
      </c>
    </row>
    <row r="66" spans="1:17">
      <c r="A66" s="165" t="s">
        <v>203</v>
      </c>
      <c r="B66" s="165"/>
      <c r="C66" s="167">
        <f t="shared" si="48"/>
        <v>81150.027851999999</v>
      </c>
      <c r="D66" s="167">
        <f t="shared" si="48"/>
        <v>81150.027851999999</v>
      </c>
      <c r="E66" s="167">
        <f t="shared" si="48"/>
        <v>81150.027851999999</v>
      </c>
      <c r="F66" s="167">
        <f t="shared" si="48"/>
        <v>81150.027851999999</v>
      </c>
      <c r="G66" s="167">
        <f t="shared" si="48"/>
        <v>81150.027851999999</v>
      </c>
      <c r="H66" s="167">
        <f t="shared" si="48"/>
        <v>81150.027851999999</v>
      </c>
      <c r="I66" s="167">
        <f t="shared" si="48"/>
        <v>81150.027851999999</v>
      </c>
      <c r="J66" s="98"/>
      <c r="K66" s="167">
        <f t="shared" si="49"/>
        <v>205000.06599999999</v>
      </c>
      <c r="L66" s="167">
        <f t="shared" si="49"/>
        <v>175800.05609999999</v>
      </c>
      <c r="M66" s="167">
        <f t="shared" si="49"/>
        <v>151125.047685</v>
      </c>
      <c r="N66" s="167">
        <f t="shared" si="49"/>
        <v>130161.79053224999</v>
      </c>
      <c r="O66" s="167">
        <f t="shared" si="49"/>
        <v>112280.4719524125</v>
      </c>
      <c r="P66" s="167">
        <f t="shared" si="49"/>
        <v>96981.856159550618</v>
      </c>
      <c r="Q66" s="167">
        <f t="shared" si="49"/>
        <v>83862.567235618015</v>
      </c>
    </row>
    <row r="67" spans="1:17">
      <c r="A67" s="165" t="s">
        <v>204</v>
      </c>
      <c r="B67" s="165"/>
      <c r="C67" s="167">
        <f t="shared" si="48"/>
        <v>81150.027851999999</v>
      </c>
      <c r="D67" s="167">
        <f t="shared" si="48"/>
        <v>162300.055704</v>
      </c>
      <c r="E67" s="167">
        <f t="shared" si="48"/>
        <v>243450.08355599997</v>
      </c>
      <c r="F67" s="167">
        <f t="shared" si="48"/>
        <v>324600.111408</v>
      </c>
      <c r="G67" s="167">
        <f t="shared" si="48"/>
        <v>405750.13925999997</v>
      </c>
      <c r="H67" s="167">
        <f t="shared" si="48"/>
        <v>486900.16711199994</v>
      </c>
      <c r="I67" s="167">
        <f t="shared" si="48"/>
        <v>568050.19496399991</v>
      </c>
      <c r="J67" s="98"/>
      <c r="K67" s="167">
        <f t="shared" si="49"/>
        <v>205000.06599999999</v>
      </c>
      <c r="L67" s="167">
        <f t="shared" si="49"/>
        <v>380800.12209999998</v>
      </c>
      <c r="M67" s="167">
        <f t="shared" si="49"/>
        <v>531925.16978499992</v>
      </c>
      <c r="N67" s="167">
        <f t="shared" si="49"/>
        <v>662086.96031724999</v>
      </c>
      <c r="O67" s="167">
        <f t="shared" si="49"/>
        <v>774367.4322696625</v>
      </c>
      <c r="P67" s="167">
        <f t="shared" si="49"/>
        <v>871349.28842921299</v>
      </c>
      <c r="Q67" s="167">
        <f t="shared" si="49"/>
        <v>955211.85566483112</v>
      </c>
    </row>
    <row r="68" spans="1:17">
      <c r="A68" s="165" t="s">
        <v>198</v>
      </c>
      <c r="B68" s="165"/>
      <c r="C68" s="167">
        <f t="shared" si="48"/>
        <v>1438850.412148</v>
      </c>
      <c r="D68" s="167">
        <f t="shared" si="48"/>
        <v>1357700.384296</v>
      </c>
      <c r="E68" s="167">
        <f t="shared" si="48"/>
        <v>1276550.356444</v>
      </c>
      <c r="F68" s="167">
        <f t="shared" si="48"/>
        <v>1195400.3285920001</v>
      </c>
      <c r="G68" s="167">
        <f t="shared" si="48"/>
        <v>1114250.3007400001</v>
      </c>
      <c r="H68" s="167">
        <f t="shared" si="48"/>
        <v>1033100.2728880001</v>
      </c>
      <c r="I68" s="167">
        <f t="shared" si="48"/>
        <v>951950.24503600015</v>
      </c>
      <c r="J68" s="98"/>
      <c r="K68" s="167">
        <f t="shared" si="49"/>
        <v>1315000.3739999998</v>
      </c>
      <c r="L68" s="167">
        <f t="shared" si="49"/>
        <v>1139200.3178999999</v>
      </c>
      <c r="M68" s="167">
        <f t="shared" si="49"/>
        <v>988075.27021499991</v>
      </c>
      <c r="N68" s="167">
        <f t="shared" si="49"/>
        <v>857913.47968274995</v>
      </c>
      <c r="O68" s="167">
        <f t="shared" si="49"/>
        <v>745633.00773033744</v>
      </c>
      <c r="P68" s="167">
        <f t="shared" si="49"/>
        <v>648651.15157078684</v>
      </c>
      <c r="Q68" s="167">
        <f t="shared" si="49"/>
        <v>564788.58433516882</v>
      </c>
    </row>
    <row r="69" spans="1:17">
      <c r="A69" s="170"/>
      <c r="B69" s="170"/>
      <c r="C69" s="171"/>
      <c r="D69" s="171"/>
      <c r="E69" s="171"/>
      <c r="F69" s="171"/>
      <c r="G69" s="171"/>
      <c r="H69" s="171"/>
      <c r="I69" s="171"/>
      <c r="J69" s="93"/>
    </row>
    <row r="70" spans="1:17">
      <c r="A70" s="93"/>
      <c r="B70" s="93"/>
      <c r="C70" s="93"/>
      <c r="D70" s="93"/>
      <c r="E70" s="93"/>
      <c r="F70" s="93"/>
      <c r="G70" s="93"/>
      <c r="H70" s="93"/>
      <c r="I70" s="93"/>
      <c r="J70" s="93"/>
    </row>
    <row r="71" spans="1:17" ht="29.25">
      <c r="A71" s="172" t="s">
        <v>205</v>
      </c>
      <c r="B71" s="173" t="s">
        <v>206</v>
      </c>
      <c r="C71" s="174" t="s">
        <v>207</v>
      </c>
      <c r="D71" s="93"/>
      <c r="E71" s="93"/>
      <c r="F71" s="93"/>
      <c r="G71" s="93"/>
      <c r="H71" s="93"/>
      <c r="I71" s="93"/>
      <c r="J71" s="93"/>
    </row>
    <row r="72" spans="1:17" ht="29.25">
      <c r="A72" s="175" t="s">
        <v>208</v>
      </c>
      <c r="B72" s="173" t="s">
        <v>209</v>
      </c>
      <c r="C72" s="174" t="s">
        <v>210</v>
      </c>
      <c r="D72" s="93"/>
      <c r="E72" s="93"/>
      <c r="F72" s="93"/>
      <c r="G72" s="93"/>
      <c r="H72" s="93"/>
      <c r="I72" s="93"/>
      <c r="J72" s="93"/>
    </row>
    <row r="73" spans="1:17">
      <c r="A73" s="175" t="s">
        <v>147</v>
      </c>
      <c r="B73" s="176">
        <v>0</v>
      </c>
      <c r="C73" s="176">
        <v>0</v>
      </c>
      <c r="D73" s="93"/>
      <c r="E73" s="93"/>
      <c r="F73" s="93"/>
      <c r="G73" s="93"/>
      <c r="H73" s="93"/>
      <c r="I73" s="93"/>
      <c r="J73" s="93"/>
    </row>
    <row r="74" spans="1:17">
      <c r="A74" s="177" t="s">
        <v>199</v>
      </c>
      <c r="B74" s="176">
        <v>3.1699999999999999E-2</v>
      </c>
      <c r="C74" s="176">
        <v>0.1</v>
      </c>
      <c r="D74" s="178"/>
      <c r="E74" s="93"/>
      <c r="F74" s="93"/>
      <c r="G74" s="93"/>
      <c r="H74" s="93"/>
      <c r="I74" s="93"/>
      <c r="J74" s="93"/>
    </row>
    <row r="75" spans="1:17">
      <c r="A75" s="177" t="s">
        <v>201</v>
      </c>
      <c r="B75" s="179">
        <v>0.1</v>
      </c>
      <c r="C75" s="176">
        <v>0.1</v>
      </c>
      <c r="D75" s="93"/>
      <c r="E75" s="93"/>
      <c r="F75" s="93"/>
      <c r="G75" s="93"/>
      <c r="H75" s="93"/>
      <c r="I75" s="93"/>
      <c r="J75" s="93"/>
    </row>
    <row r="76" spans="1:17">
      <c r="A76" s="93" t="s">
        <v>211</v>
      </c>
      <c r="B76" s="179">
        <v>0.1</v>
      </c>
      <c r="C76" s="179">
        <v>0.4</v>
      </c>
      <c r="D76" s="93"/>
      <c r="E76" s="93"/>
      <c r="F76" s="93"/>
      <c r="G76" s="93"/>
      <c r="H76" s="93"/>
      <c r="I76" s="93"/>
      <c r="J76" s="93"/>
    </row>
    <row r="77" spans="1:17">
      <c r="A77" s="93" t="s">
        <v>276</v>
      </c>
      <c r="B77" s="179">
        <v>0.1188</v>
      </c>
      <c r="C77" s="179">
        <v>0.15</v>
      </c>
      <c r="D77" s="93"/>
      <c r="E77" s="93"/>
      <c r="F77" s="93"/>
      <c r="G77" s="93"/>
      <c r="H77" s="93"/>
      <c r="I77" s="93"/>
      <c r="J77" s="93"/>
    </row>
    <row r="78" spans="1:17">
      <c r="A78" s="177" t="s">
        <v>212</v>
      </c>
      <c r="B78" s="179">
        <v>6.3299999999999995E-2</v>
      </c>
      <c r="C78" s="179">
        <v>0.15</v>
      </c>
      <c r="D78" s="93"/>
      <c r="E78" s="93"/>
      <c r="F78" s="93"/>
      <c r="G78" s="93"/>
      <c r="H78" s="93"/>
      <c r="I78" s="93"/>
      <c r="J78" s="93"/>
    </row>
    <row r="79" spans="1:17" ht="29.25">
      <c r="A79" s="175" t="s">
        <v>205</v>
      </c>
      <c r="B79" s="176"/>
      <c r="C79" s="180"/>
      <c r="D79" s="93"/>
      <c r="E79" s="93"/>
      <c r="F79" s="93"/>
      <c r="G79" s="93"/>
      <c r="H79" s="93"/>
      <c r="I79" s="93"/>
      <c r="J79" s="93"/>
    </row>
    <row r="80" spans="1:17">
      <c r="A80" s="177" t="s">
        <v>213</v>
      </c>
      <c r="B80" s="180">
        <v>0.2</v>
      </c>
      <c r="C80" s="181">
        <v>0.2</v>
      </c>
      <c r="D80" s="93"/>
      <c r="E80" s="93"/>
      <c r="F80" s="93"/>
      <c r="G80" s="93"/>
      <c r="H80" s="93"/>
      <c r="I80" s="93"/>
      <c r="J80" s="93"/>
    </row>
    <row r="81" spans="1:12">
      <c r="A81" s="93"/>
      <c r="B81" s="93"/>
      <c r="C81" s="93"/>
      <c r="D81" s="93"/>
      <c r="E81" s="93"/>
      <c r="F81" s="93"/>
      <c r="G81" s="93"/>
      <c r="H81" s="93"/>
      <c r="I81" s="93"/>
      <c r="J81" s="93"/>
    </row>
    <row r="82" spans="1:12">
      <c r="A82" s="93"/>
      <c r="B82" s="93"/>
      <c r="C82" s="93"/>
      <c r="D82" s="93"/>
      <c r="E82" s="182"/>
      <c r="F82" s="93"/>
      <c r="G82" s="93"/>
      <c r="H82" s="93"/>
      <c r="I82" s="93"/>
      <c r="J82" s="93"/>
    </row>
    <row r="83" spans="1:12" s="65" customFormat="1" ht="18.75">
      <c r="A83" s="412" t="s">
        <v>706</v>
      </c>
      <c r="B83" s="412"/>
      <c r="C83" s="412"/>
      <c r="D83" s="412"/>
      <c r="E83" s="412"/>
      <c r="F83" s="412"/>
      <c r="G83" s="412"/>
      <c r="H83" s="412"/>
      <c r="I83" s="412"/>
      <c r="J83" s="412"/>
    </row>
    <row r="84" spans="1:12" s="65" customFormat="1">
      <c r="A84" s="35"/>
      <c r="B84" s="35"/>
    </row>
    <row r="85" spans="1:12" s="65" customFormat="1">
      <c r="A85" s="152" t="s">
        <v>0</v>
      </c>
      <c r="B85" s="153" t="s">
        <v>339</v>
      </c>
      <c r="C85" s="154" t="s">
        <v>2</v>
      </c>
      <c r="D85" s="154" t="s">
        <v>3</v>
      </c>
      <c r="E85" s="154" t="s">
        <v>4</v>
      </c>
      <c r="F85" s="154" t="s">
        <v>5</v>
      </c>
      <c r="G85" s="154" t="s">
        <v>6</v>
      </c>
      <c r="H85" s="154" t="s">
        <v>167</v>
      </c>
      <c r="I85" s="154" t="s">
        <v>166</v>
      </c>
      <c r="J85" s="38"/>
      <c r="K85" s="38"/>
      <c r="L85" s="38"/>
    </row>
    <row r="86" spans="1:12" s="65" customFormat="1">
      <c r="A86" s="155" t="s">
        <v>254</v>
      </c>
      <c r="B86" s="156">
        <v>5</v>
      </c>
      <c r="C86" s="157">
        <f>'1.Project Cost and MOF'!$D$11/5</f>
        <v>11000</v>
      </c>
      <c r="D86" s="157">
        <f>'1.Project Cost and MOF'!$D$11/5</f>
        <v>11000</v>
      </c>
      <c r="E86" s="157">
        <f>'1.Project Cost and MOF'!$D$11/5</f>
        <v>11000</v>
      </c>
      <c r="F86" s="157">
        <f>'1.Project Cost and MOF'!$D$11/5</f>
        <v>11000</v>
      </c>
      <c r="G86" s="157">
        <f>'1.Project Cost and MOF'!$D$11/5</f>
        <v>11000</v>
      </c>
      <c r="H86" s="157">
        <v>0</v>
      </c>
      <c r="I86" s="157">
        <v>0</v>
      </c>
      <c r="J86" s="38"/>
      <c r="K86" s="38"/>
      <c r="L86" s="38"/>
    </row>
    <row r="87" spans="1:12" s="65" customFormat="1">
      <c r="A87" s="158" t="s">
        <v>340</v>
      </c>
      <c r="B87" s="159"/>
      <c r="C87" s="160">
        <f t="shared" ref="C87:I87" si="50">SUM(C85:C86)</f>
        <v>11000</v>
      </c>
      <c r="D87" s="160">
        <f t="shared" si="50"/>
        <v>11000</v>
      </c>
      <c r="E87" s="160">
        <f t="shared" si="50"/>
        <v>11000</v>
      </c>
      <c r="F87" s="160">
        <f t="shared" si="50"/>
        <v>11000</v>
      </c>
      <c r="G87" s="160">
        <f t="shared" si="50"/>
        <v>11000</v>
      </c>
      <c r="H87" s="160">
        <f t="shared" si="50"/>
        <v>0</v>
      </c>
      <c r="I87" s="160">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28" t="s">
        <v>551</v>
      </c>
      <c r="B92" s="428"/>
      <c r="C92" s="428"/>
      <c r="D92" s="428"/>
      <c r="E92" s="428"/>
      <c r="F92" s="428"/>
      <c r="G92" s="428"/>
      <c r="H92" s="428"/>
      <c r="I92" s="149"/>
      <c r="J92" s="149"/>
      <c r="K92" s="149"/>
    </row>
    <row r="93" spans="1:12">
      <c r="A93" s="35"/>
      <c r="B93" s="34"/>
      <c r="C93" s="34"/>
      <c r="D93" s="34"/>
      <c r="E93" s="34"/>
      <c r="F93" s="34"/>
      <c r="G93" s="34"/>
      <c r="H93" s="34"/>
      <c r="I93" s="34"/>
      <c r="J93" s="34"/>
      <c r="K93" s="34"/>
    </row>
    <row r="94" spans="1:12">
      <c r="A94" s="147" t="s">
        <v>0</v>
      </c>
      <c r="B94" s="119" t="s">
        <v>2</v>
      </c>
      <c r="C94" s="119" t="s">
        <v>3</v>
      </c>
      <c r="D94" s="119" t="s">
        <v>4</v>
      </c>
      <c r="E94" s="119" t="s">
        <v>5</v>
      </c>
      <c r="F94" s="119" t="s">
        <v>6</v>
      </c>
      <c r="G94" s="119" t="s">
        <v>167</v>
      </c>
      <c r="H94" s="119" t="s">
        <v>166</v>
      </c>
      <c r="I94" s="28"/>
      <c r="J94" s="28"/>
      <c r="K94" s="28"/>
    </row>
    <row r="95" spans="1:12">
      <c r="A95" s="87" t="s">
        <v>226</v>
      </c>
      <c r="B95" s="150">
        <f>'6.Cons Profit &amp; Loss'!B47</f>
        <v>-1034357.716615496</v>
      </c>
      <c r="C95" s="150">
        <f>'6.Cons Profit &amp; Loss'!C47</f>
        <v>534413.30700164894</v>
      </c>
      <c r="D95" s="150">
        <f>'6.Cons Profit &amp; Loss'!D47</f>
        <v>1220549.2771566776</v>
      </c>
      <c r="E95" s="150">
        <f>'6.Cons Profit &amp; Loss'!E47</f>
        <v>1973732.4359900707</v>
      </c>
      <c r="F95" s="150">
        <f>'6.Cons Profit &amp; Loss'!F47</f>
        <v>2798952.1624442805</v>
      </c>
      <c r="G95" s="150">
        <f>'6.Cons Profit &amp; Loss'!G47</f>
        <v>3712529.1553843198</v>
      </c>
      <c r="H95" s="150">
        <f>'6.Cons Profit &amp; Loss'!H47</f>
        <v>4698136.0921426322</v>
      </c>
      <c r="I95" s="37"/>
      <c r="J95" s="37"/>
      <c r="K95" s="37"/>
    </row>
    <row r="96" spans="1:12">
      <c r="A96" s="87" t="s">
        <v>227</v>
      </c>
      <c r="B96" s="150">
        <f>'6.Cons Profit &amp; Loss'!B40</f>
        <v>81150.027851999999</v>
      </c>
      <c r="C96" s="150">
        <f>'6.Cons Profit &amp; Loss'!C40</f>
        <v>81150.027851999999</v>
      </c>
      <c r="D96" s="150">
        <f>'6.Cons Profit &amp; Loss'!D40</f>
        <v>81150.027851999999</v>
      </c>
      <c r="E96" s="150">
        <f>'6.Cons Profit &amp; Loss'!E40</f>
        <v>81150.027851999999</v>
      </c>
      <c r="F96" s="150">
        <f>'6.Cons Profit &amp; Loss'!F40</f>
        <v>81150.027851999999</v>
      </c>
      <c r="G96" s="150">
        <f>'6.Cons Profit &amp; Loss'!G40</f>
        <v>81150.027851999999</v>
      </c>
      <c r="H96" s="150">
        <f>'6.Cons Profit &amp; Loss'!H40</f>
        <v>81150.027851999999</v>
      </c>
      <c r="I96" s="37"/>
      <c r="J96" s="37"/>
      <c r="K96" s="37"/>
    </row>
    <row r="97" spans="1:11">
      <c r="A97" s="87" t="s">
        <v>228</v>
      </c>
      <c r="B97" s="150">
        <f>'3.Other Exp &amp; Taxes'!K66</f>
        <v>205000.06599999999</v>
      </c>
      <c r="C97" s="150">
        <f>'3.Other Exp &amp; Taxes'!L66</f>
        <v>175800.05609999999</v>
      </c>
      <c r="D97" s="150">
        <f>'3.Other Exp &amp; Taxes'!M66</f>
        <v>151125.047685</v>
      </c>
      <c r="E97" s="150">
        <f>'3.Other Exp &amp; Taxes'!N66</f>
        <v>130161.79053224999</v>
      </c>
      <c r="F97" s="150">
        <f>'3.Other Exp &amp; Taxes'!O66</f>
        <v>112280.4719524125</v>
      </c>
      <c r="G97" s="150">
        <f>'3.Other Exp &amp; Taxes'!P66</f>
        <v>96981.856159550618</v>
      </c>
      <c r="H97" s="150">
        <f>'3.Other Exp &amp; Taxes'!Q66</f>
        <v>83862.567235618015</v>
      </c>
      <c r="I97" s="37"/>
      <c r="J97" s="37"/>
      <c r="K97" s="37"/>
    </row>
    <row r="98" spans="1:11">
      <c r="A98" s="87" t="s">
        <v>289</v>
      </c>
      <c r="B98" s="150">
        <f t="shared" ref="B98:H98" si="51">B95+B96-B97</f>
        <v>-1158207.7547634961</v>
      </c>
      <c r="C98" s="150">
        <f t="shared" si="51"/>
        <v>439763.27875364892</v>
      </c>
      <c r="D98" s="150">
        <f t="shared" si="51"/>
        <v>1150574.2573236777</v>
      </c>
      <c r="E98" s="150">
        <f t="shared" si="51"/>
        <v>1924720.6733098207</v>
      </c>
      <c r="F98" s="150">
        <f t="shared" si="51"/>
        <v>2767821.7183438684</v>
      </c>
      <c r="G98" s="150">
        <f t="shared" si="51"/>
        <v>3696697.3270767694</v>
      </c>
      <c r="H98" s="150">
        <f t="shared" si="51"/>
        <v>4695423.5527590141</v>
      </c>
      <c r="I98" s="37"/>
      <c r="J98" s="37"/>
      <c r="K98" s="37"/>
    </row>
    <row r="99" spans="1:11">
      <c r="A99" s="89" t="s">
        <v>229</v>
      </c>
      <c r="B99" s="151">
        <f t="shared" ref="B99:H99" si="52">B98*$B$102</f>
        <v>-289551.93869087403</v>
      </c>
      <c r="C99" s="151">
        <f t="shared" si="52"/>
        <v>109940.81968841223</v>
      </c>
      <c r="D99" s="151">
        <f t="shared" si="52"/>
        <v>287643.56433091941</v>
      </c>
      <c r="E99" s="151">
        <f t="shared" si="52"/>
        <v>481180.16832745518</v>
      </c>
      <c r="F99" s="151">
        <f t="shared" si="52"/>
        <v>691955.4295859671</v>
      </c>
      <c r="G99" s="151">
        <f t="shared" si="52"/>
        <v>924174.33176919236</v>
      </c>
      <c r="H99" s="151">
        <f t="shared" si="52"/>
        <v>1173855.8881897535</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393</v>
      </c>
      <c r="B102" s="270">
        <v>0.25</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29" t="s">
        <v>424</v>
      </c>
      <c r="B104" s="429"/>
      <c r="C104" s="429"/>
      <c r="D104" s="429"/>
      <c r="E104" s="429"/>
      <c r="F104" s="429"/>
      <c r="G104" s="429"/>
      <c r="H104" s="429"/>
      <c r="I104" s="32"/>
      <c r="J104" s="32"/>
      <c r="K104" s="32"/>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51" zoomScale="80" zoomScaleSheetLayoutView="80" workbookViewId="0">
      <selection activeCell="A2" sqref="A2:H98"/>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5" t="s">
        <v>707</v>
      </c>
      <c r="B2" s="415"/>
      <c r="C2" s="415"/>
      <c r="D2" s="415"/>
      <c r="E2" s="415"/>
      <c r="F2" s="415"/>
      <c r="G2" s="433"/>
    </row>
    <row r="3" spans="1:7">
      <c r="B3" s="15"/>
      <c r="C3" s="15"/>
      <c r="D3" s="15"/>
      <c r="E3" s="15"/>
      <c r="F3" s="15"/>
      <c r="G3" s="15"/>
    </row>
    <row r="4" spans="1:7">
      <c r="A4" s="93"/>
      <c r="B4" s="93"/>
      <c r="C4" s="93" t="s">
        <v>470</v>
      </c>
      <c r="D4" s="111">
        <f>'1.Project Cost and MOF'!E21</f>
        <v>0</v>
      </c>
      <c r="E4" s="93"/>
      <c r="F4" s="93"/>
      <c r="G4" s="93"/>
    </row>
    <row r="5" spans="1:7">
      <c r="A5" s="93"/>
      <c r="B5" s="93"/>
      <c r="C5" s="93" t="s">
        <v>471</v>
      </c>
      <c r="D5" s="264">
        <v>0.12</v>
      </c>
      <c r="E5" s="93"/>
      <c r="F5" s="93"/>
      <c r="G5" s="93"/>
    </row>
    <row r="6" spans="1:7">
      <c r="A6" s="93"/>
      <c r="B6" s="93"/>
      <c r="C6" s="93" t="s">
        <v>472</v>
      </c>
      <c r="D6" s="265">
        <v>7</v>
      </c>
      <c r="E6" s="93"/>
      <c r="F6" s="93"/>
      <c r="G6" s="93"/>
    </row>
    <row r="7" spans="1:7">
      <c r="A7" s="93"/>
      <c r="B7" s="93"/>
      <c r="C7" s="93" t="s">
        <v>473</v>
      </c>
      <c r="D7" s="265">
        <v>6</v>
      </c>
      <c r="E7" s="93"/>
      <c r="F7" s="93"/>
      <c r="G7" s="93"/>
    </row>
    <row r="8" spans="1:7">
      <c r="A8" s="93"/>
      <c r="B8" s="93"/>
      <c r="C8" s="93" t="s">
        <v>22</v>
      </c>
      <c r="D8" s="210">
        <f>PMT(D5/12,(D6-(D7/12))*12,-D4)</f>
        <v>0</v>
      </c>
      <c r="E8" s="210"/>
      <c r="F8" s="253"/>
      <c r="G8" s="93"/>
    </row>
    <row r="9" spans="1:7">
      <c r="A9" s="147" t="s">
        <v>290</v>
      </c>
      <c r="B9" s="211" t="s">
        <v>18</v>
      </c>
      <c r="C9" s="212" t="s">
        <v>19</v>
      </c>
      <c r="D9" s="212" t="s">
        <v>20</v>
      </c>
      <c r="E9" s="212" t="s">
        <v>21</v>
      </c>
      <c r="F9" s="212" t="s">
        <v>22</v>
      </c>
      <c r="G9" s="212" t="s">
        <v>23</v>
      </c>
    </row>
    <row r="10" spans="1:7">
      <c r="A10" s="94" t="s">
        <v>11</v>
      </c>
      <c r="B10" s="94" t="s">
        <v>52</v>
      </c>
      <c r="C10" s="95">
        <f>D4</f>
        <v>0</v>
      </c>
      <c r="D10" s="95">
        <f t="shared" ref="D10:D41" si="0">C10*$D$5/12</f>
        <v>0</v>
      </c>
      <c r="E10" s="95">
        <f t="shared" ref="E10:E15" si="1">F10-D10</f>
        <v>0</v>
      </c>
      <c r="F10" s="95">
        <f>D10</f>
        <v>0</v>
      </c>
      <c r="G10" s="95">
        <f>C10-E10</f>
        <v>0</v>
      </c>
    </row>
    <row r="11" spans="1:7">
      <c r="A11" s="94"/>
      <c r="B11" s="94" t="s">
        <v>53</v>
      </c>
      <c r="C11" s="95">
        <f>G10</f>
        <v>0</v>
      </c>
      <c r="D11" s="95">
        <f t="shared" si="0"/>
        <v>0</v>
      </c>
      <c r="E11" s="95">
        <f t="shared" si="1"/>
        <v>0</v>
      </c>
      <c r="F11" s="95">
        <f t="shared" ref="F11:F15" si="2">D11</f>
        <v>0</v>
      </c>
      <c r="G11" s="95">
        <f t="shared" ref="G11:G74" si="3">C11-E11</f>
        <v>0</v>
      </c>
    </row>
    <row r="12" spans="1:7">
      <c r="A12" s="94"/>
      <c r="B12" s="94" t="s">
        <v>54</v>
      </c>
      <c r="C12" s="95">
        <f t="shared" ref="C12:C75" si="4">G11</f>
        <v>0</v>
      </c>
      <c r="D12" s="95">
        <f t="shared" si="0"/>
        <v>0</v>
      </c>
      <c r="E12" s="95">
        <f t="shared" si="1"/>
        <v>0</v>
      </c>
      <c r="F12" s="95">
        <f t="shared" si="2"/>
        <v>0</v>
      </c>
      <c r="G12" s="95">
        <f t="shared" si="3"/>
        <v>0</v>
      </c>
    </row>
    <row r="13" spans="1:7">
      <c r="A13" s="94"/>
      <c r="B13" s="94" t="s">
        <v>55</v>
      </c>
      <c r="C13" s="95">
        <f t="shared" si="4"/>
        <v>0</v>
      </c>
      <c r="D13" s="95">
        <f t="shared" si="0"/>
        <v>0</v>
      </c>
      <c r="E13" s="95">
        <f t="shared" si="1"/>
        <v>0</v>
      </c>
      <c r="F13" s="95">
        <f t="shared" si="2"/>
        <v>0</v>
      </c>
      <c r="G13" s="95">
        <f t="shared" si="3"/>
        <v>0</v>
      </c>
    </row>
    <row r="14" spans="1:7">
      <c r="A14" s="94"/>
      <c r="B14" s="94" t="s">
        <v>56</v>
      </c>
      <c r="C14" s="95">
        <f t="shared" si="4"/>
        <v>0</v>
      </c>
      <c r="D14" s="95">
        <f t="shared" si="0"/>
        <v>0</v>
      </c>
      <c r="E14" s="95">
        <f t="shared" si="1"/>
        <v>0</v>
      </c>
      <c r="F14" s="95">
        <f t="shared" si="2"/>
        <v>0</v>
      </c>
      <c r="G14" s="95">
        <f t="shared" si="3"/>
        <v>0</v>
      </c>
    </row>
    <row r="15" spans="1:7">
      <c r="A15" s="94"/>
      <c r="B15" s="94" t="s">
        <v>57</v>
      </c>
      <c r="C15" s="95">
        <f t="shared" si="4"/>
        <v>0</v>
      </c>
      <c r="D15" s="95">
        <f t="shared" si="0"/>
        <v>0</v>
      </c>
      <c r="E15" s="95">
        <f t="shared" si="1"/>
        <v>0</v>
      </c>
      <c r="F15" s="95">
        <f t="shared" si="2"/>
        <v>0</v>
      </c>
      <c r="G15" s="95">
        <f t="shared" si="3"/>
        <v>0</v>
      </c>
    </row>
    <row r="16" spans="1:7">
      <c r="A16" s="94"/>
      <c r="B16" s="94" t="s">
        <v>58</v>
      </c>
      <c r="C16" s="95">
        <f t="shared" si="4"/>
        <v>0</v>
      </c>
      <c r="D16" s="95">
        <f t="shared" si="0"/>
        <v>0</v>
      </c>
      <c r="E16" s="95">
        <f>F16-D16</f>
        <v>0</v>
      </c>
      <c r="F16" s="95">
        <f t="shared" ref="F16:F74" si="5">$D$8</f>
        <v>0</v>
      </c>
      <c r="G16" s="95">
        <f t="shared" si="3"/>
        <v>0</v>
      </c>
    </row>
    <row r="17" spans="1:9">
      <c r="A17" s="94"/>
      <c r="B17" s="94" t="s">
        <v>59</v>
      </c>
      <c r="C17" s="95">
        <f t="shared" si="4"/>
        <v>0</v>
      </c>
      <c r="D17" s="95">
        <f t="shared" si="0"/>
        <v>0</v>
      </c>
      <c r="E17" s="95">
        <f t="shared" ref="E17:E80" si="6">F17-D17</f>
        <v>0</v>
      </c>
      <c r="F17" s="95">
        <f t="shared" si="5"/>
        <v>0</v>
      </c>
      <c r="G17" s="95">
        <f t="shared" si="3"/>
        <v>0</v>
      </c>
    </row>
    <row r="18" spans="1:9">
      <c r="A18" s="94"/>
      <c r="B18" s="94" t="s">
        <v>60</v>
      </c>
      <c r="C18" s="95">
        <f t="shared" si="4"/>
        <v>0</v>
      </c>
      <c r="D18" s="95">
        <f t="shared" si="0"/>
        <v>0</v>
      </c>
      <c r="E18" s="95">
        <f t="shared" si="6"/>
        <v>0</v>
      </c>
      <c r="F18" s="95">
        <f t="shared" si="5"/>
        <v>0</v>
      </c>
      <c r="G18" s="95">
        <f t="shared" si="3"/>
        <v>0</v>
      </c>
    </row>
    <row r="19" spans="1:9">
      <c r="A19" s="94"/>
      <c r="B19" s="94" t="s">
        <v>61</v>
      </c>
      <c r="C19" s="95">
        <f t="shared" si="4"/>
        <v>0</v>
      </c>
      <c r="D19" s="95">
        <f t="shared" si="0"/>
        <v>0</v>
      </c>
      <c r="E19" s="95">
        <f t="shared" si="6"/>
        <v>0</v>
      </c>
      <c r="F19" s="95">
        <f t="shared" si="5"/>
        <v>0</v>
      </c>
      <c r="G19" s="95">
        <f t="shared" si="3"/>
        <v>0</v>
      </c>
    </row>
    <row r="20" spans="1:9">
      <c r="A20" s="94"/>
      <c r="B20" s="94" t="s">
        <v>62</v>
      </c>
      <c r="C20" s="95">
        <f t="shared" si="4"/>
        <v>0</v>
      </c>
      <c r="D20" s="95">
        <f t="shared" si="0"/>
        <v>0</v>
      </c>
      <c r="E20" s="95">
        <f t="shared" si="6"/>
        <v>0</v>
      </c>
      <c r="F20" s="95">
        <f t="shared" si="5"/>
        <v>0</v>
      </c>
      <c r="G20" s="95">
        <f t="shared" si="3"/>
        <v>0</v>
      </c>
    </row>
    <row r="21" spans="1:9">
      <c r="A21" s="94"/>
      <c r="B21" s="94" t="s">
        <v>63</v>
      </c>
      <c r="C21" s="95">
        <f t="shared" si="4"/>
        <v>0</v>
      </c>
      <c r="D21" s="95">
        <f t="shared" si="0"/>
        <v>0</v>
      </c>
      <c r="E21" s="95">
        <f t="shared" si="6"/>
        <v>0</v>
      </c>
      <c r="F21" s="95">
        <f t="shared" si="5"/>
        <v>0</v>
      </c>
      <c r="G21" s="95">
        <f t="shared" si="3"/>
        <v>0</v>
      </c>
      <c r="H21" s="1"/>
      <c r="I21" s="1"/>
    </row>
    <row r="22" spans="1:9">
      <c r="A22" s="94" t="s">
        <v>12</v>
      </c>
      <c r="B22" s="94" t="s">
        <v>64</v>
      </c>
      <c r="C22" s="95">
        <f t="shared" si="4"/>
        <v>0</v>
      </c>
      <c r="D22" s="95">
        <f t="shared" si="0"/>
        <v>0</v>
      </c>
      <c r="E22" s="95">
        <f t="shared" si="6"/>
        <v>0</v>
      </c>
      <c r="F22" s="95">
        <f t="shared" si="5"/>
        <v>0</v>
      </c>
      <c r="G22" s="95">
        <f t="shared" si="3"/>
        <v>0</v>
      </c>
    </row>
    <row r="23" spans="1:9">
      <c r="A23" s="94"/>
      <c r="B23" s="94" t="s">
        <v>65</v>
      </c>
      <c r="C23" s="95">
        <f t="shared" si="4"/>
        <v>0</v>
      </c>
      <c r="D23" s="95">
        <f t="shared" si="0"/>
        <v>0</v>
      </c>
      <c r="E23" s="95">
        <f t="shared" si="6"/>
        <v>0</v>
      </c>
      <c r="F23" s="95">
        <f t="shared" si="5"/>
        <v>0</v>
      </c>
      <c r="G23" s="95">
        <f t="shared" si="3"/>
        <v>0</v>
      </c>
    </row>
    <row r="24" spans="1:9">
      <c r="A24" s="94"/>
      <c r="B24" s="94" t="s">
        <v>66</v>
      </c>
      <c r="C24" s="95">
        <f t="shared" si="4"/>
        <v>0</v>
      </c>
      <c r="D24" s="95">
        <f t="shared" si="0"/>
        <v>0</v>
      </c>
      <c r="E24" s="95">
        <f t="shared" si="6"/>
        <v>0</v>
      </c>
      <c r="F24" s="95">
        <f t="shared" si="5"/>
        <v>0</v>
      </c>
      <c r="G24" s="95">
        <f t="shared" si="3"/>
        <v>0</v>
      </c>
    </row>
    <row r="25" spans="1:9">
      <c r="A25" s="94"/>
      <c r="B25" s="94" t="s">
        <v>67</v>
      </c>
      <c r="C25" s="95">
        <f t="shared" si="4"/>
        <v>0</v>
      </c>
      <c r="D25" s="95">
        <f t="shared" si="0"/>
        <v>0</v>
      </c>
      <c r="E25" s="95">
        <f t="shared" si="6"/>
        <v>0</v>
      </c>
      <c r="F25" s="95">
        <f t="shared" si="5"/>
        <v>0</v>
      </c>
      <c r="G25" s="95">
        <f t="shared" si="3"/>
        <v>0</v>
      </c>
    </row>
    <row r="26" spans="1:9">
      <c r="A26" s="94"/>
      <c r="B26" s="94" t="s">
        <v>68</v>
      </c>
      <c r="C26" s="95">
        <f t="shared" si="4"/>
        <v>0</v>
      </c>
      <c r="D26" s="95">
        <f t="shared" si="0"/>
        <v>0</v>
      </c>
      <c r="E26" s="95">
        <f t="shared" si="6"/>
        <v>0</v>
      </c>
      <c r="F26" s="95">
        <f t="shared" si="5"/>
        <v>0</v>
      </c>
      <c r="G26" s="95">
        <f t="shared" si="3"/>
        <v>0</v>
      </c>
    </row>
    <row r="27" spans="1:9">
      <c r="A27" s="94"/>
      <c r="B27" s="94" t="s">
        <v>69</v>
      </c>
      <c r="C27" s="95">
        <f t="shared" si="4"/>
        <v>0</v>
      </c>
      <c r="D27" s="95">
        <f t="shared" si="0"/>
        <v>0</v>
      </c>
      <c r="E27" s="95">
        <f t="shared" si="6"/>
        <v>0</v>
      </c>
      <c r="F27" s="95">
        <f t="shared" si="5"/>
        <v>0</v>
      </c>
      <c r="G27" s="95">
        <f t="shared" si="3"/>
        <v>0</v>
      </c>
    </row>
    <row r="28" spans="1:9">
      <c r="A28" s="94"/>
      <c r="B28" s="94" t="s">
        <v>70</v>
      </c>
      <c r="C28" s="95">
        <f t="shared" si="4"/>
        <v>0</v>
      </c>
      <c r="D28" s="95">
        <f t="shared" si="0"/>
        <v>0</v>
      </c>
      <c r="E28" s="95">
        <f t="shared" si="6"/>
        <v>0</v>
      </c>
      <c r="F28" s="95">
        <f t="shared" si="5"/>
        <v>0</v>
      </c>
      <c r="G28" s="95">
        <f t="shared" si="3"/>
        <v>0</v>
      </c>
    </row>
    <row r="29" spans="1:9">
      <c r="A29" s="94"/>
      <c r="B29" s="94" t="s">
        <v>71</v>
      </c>
      <c r="C29" s="95">
        <f t="shared" si="4"/>
        <v>0</v>
      </c>
      <c r="D29" s="95">
        <f t="shared" si="0"/>
        <v>0</v>
      </c>
      <c r="E29" s="95">
        <f t="shared" si="6"/>
        <v>0</v>
      </c>
      <c r="F29" s="95">
        <f t="shared" si="5"/>
        <v>0</v>
      </c>
      <c r="G29" s="95">
        <f t="shared" si="3"/>
        <v>0</v>
      </c>
    </row>
    <row r="30" spans="1:9">
      <c r="A30" s="94"/>
      <c r="B30" s="94" t="s">
        <v>72</v>
      </c>
      <c r="C30" s="95">
        <f t="shared" si="4"/>
        <v>0</v>
      </c>
      <c r="D30" s="95">
        <f t="shared" si="0"/>
        <v>0</v>
      </c>
      <c r="E30" s="95">
        <f t="shared" si="6"/>
        <v>0</v>
      </c>
      <c r="F30" s="95">
        <f t="shared" si="5"/>
        <v>0</v>
      </c>
      <c r="G30" s="95">
        <f t="shared" si="3"/>
        <v>0</v>
      </c>
    </row>
    <row r="31" spans="1:9">
      <c r="A31" s="94"/>
      <c r="B31" s="94" t="s">
        <v>73</v>
      </c>
      <c r="C31" s="95">
        <f t="shared" si="4"/>
        <v>0</v>
      </c>
      <c r="D31" s="95">
        <f t="shared" si="0"/>
        <v>0</v>
      </c>
      <c r="E31" s="95">
        <f t="shared" si="6"/>
        <v>0</v>
      </c>
      <c r="F31" s="95">
        <f t="shared" si="5"/>
        <v>0</v>
      </c>
      <c r="G31" s="95">
        <f t="shared" si="3"/>
        <v>0</v>
      </c>
    </row>
    <row r="32" spans="1:9">
      <c r="A32" s="94"/>
      <c r="B32" s="94" t="s">
        <v>74</v>
      </c>
      <c r="C32" s="95">
        <f t="shared" si="4"/>
        <v>0</v>
      </c>
      <c r="D32" s="95">
        <f t="shared" si="0"/>
        <v>0</v>
      </c>
      <c r="E32" s="95">
        <f t="shared" si="6"/>
        <v>0</v>
      </c>
      <c r="F32" s="95">
        <f t="shared" si="5"/>
        <v>0</v>
      </c>
      <c r="G32" s="95">
        <f t="shared" si="3"/>
        <v>0</v>
      </c>
    </row>
    <row r="33" spans="1:9">
      <c r="A33" s="94"/>
      <c r="B33" s="94" t="s">
        <v>75</v>
      </c>
      <c r="C33" s="95">
        <f t="shared" si="4"/>
        <v>0</v>
      </c>
      <c r="D33" s="95">
        <f t="shared" si="0"/>
        <v>0</v>
      </c>
      <c r="E33" s="95">
        <f t="shared" si="6"/>
        <v>0</v>
      </c>
      <c r="F33" s="95">
        <f t="shared" si="5"/>
        <v>0</v>
      </c>
      <c r="G33" s="95">
        <f t="shared" si="3"/>
        <v>0</v>
      </c>
      <c r="H33" s="1"/>
      <c r="I33" s="1"/>
    </row>
    <row r="34" spans="1:9">
      <c r="A34" s="94" t="s">
        <v>13</v>
      </c>
      <c r="B34" s="94" t="s">
        <v>76</v>
      </c>
      <c r="C34" s="95">
        <f t="shared" si="4"/>
        <v>0</v>
      </c>
      <c r="D34" s="95">
        <f t="shared" si="0"/>
        <v>0</v>
      </c>
      <c r="E34" s="95">
        <f t="shared" si="6"/>
        <v>0</v>
      </c>
      <c r="F34" s="95">
        <f t="shared" si="5"/>
        <v>0</v>
      </c>
      <c r="G34" s="95">
        <f t="shared" si="3"/>
        <v>0</v>
      </c>
    </row>
    <row r="35" spans="1:9">
      <c r="A35" s="94"/>
      <c r="B35" s="94" t="s">
        <v>77</v>
      </c>
      <c r="C35" s="95">
        <f t="shared" si="4"/>
        <v>0</v>
      </c>
      <c r="D35" s="95">
        <f t="shared" si="0"/>
        <v>0</v>
      </c>
      <c r="E35" s="95">
        <f t="shared" si="6"/>
        <v>0</v>
      </c>
      <c r="F35" s="95">
        <f t="shared" si="5"/>
        <v>0</v>
      </c>
      <c r="G35" s="95">
        <f t="shared" si="3"/>
        <v>0</v>
      </c>
    </row>
    <row r="36" spans="1:9">
      <c r="A36" s="94"/>
      <c r="B36" s="94" t="s">
        <v>78</v>
      </c>
      <c r="C36" s="95">
        <f t="shared" si="4"/>
        <v>0</v>
      </c>
      <c r="D36" s="95">
        <f t="shared" si="0"/>
        <v>0</v>
      </c>
      <c r="E36" s="95">
        <f t="shared" si="6"/>
        <v>0</v>
      </c>
      <c r="F36" s="95">
        <f t="shared" si="5"/>
        <v>0</v>
      </c>
      <c r="G36" s="95">
        <f t="shared" si="3"/>
        <v>0</v>
      </c>
    </row>
    <row r="37" spans="1:9">
      <c r="A37" s="94"/>
      <c r="B37" s="94" t="s">
        <v>79</v>
      </c>
      <c r="C37" s="95">
        <f t="shared" si="4"/>
        <v>0</v>
      </c>
      <c r="D37" s="95">
        <f t="shared" si="0"/>
        <v>0</v>
      </c>
      <c r="E37" s="95">
        <f t="shared" si="6"/>
        <v>0</v>
      </c>
      <c r="F37" s="95">
        <f t="shared" si="5"/>
        <v>0</v>
      </c>
      <c r="G37" s="95">
        <f t="shared" si="3"/>
        <v>0</v>
      </c>
    </row>
    <row r="38" spans="1:9">
      <c r="A38" s="94"/>
      <c r="B38" s="94" t="s">
        <v>80</v>
      </c>
      <c r="C38" s="95">
        <f t="shared" si="4"/>
        <v>0</v>
      </c>
      <c r="D38" s="95">
        <f t="shared" si="0"/>
        <v>0</v>
      </c>
      <c r="E38" s="95">
        <f t="shared" si="6"/>
        <v>0</v>
      </c>
      <c r="F38" s="95">
        <f t="shared" si="5"/>
        <v>0</v>
      </c>
      <c r="G38" s="95">
        <f t="shared" si="3"/>
        <v>0</v>
      </c>
    </row>
    <row r="39" spans="1:9">
      <c r="A39" s="94"/>
      <c r="B39" s="94" t="s">
        <v>81</v>
      </c>
      <c r="C39" s="95">
        <f t="shared" si="4"/>
        <v>0</v>
      </c>
      <c r="D39" s="95">
        <f t="shared" si="0"/>
        <v>0</v>
      </c>
      <c r="E39" s="95">
        <f t="shared" si="6"/>
        <v>0</v>
      </c>
      <c r="F39" s="95">
        <f t="shared" si="5"/>
        <v>0</v>
      </c>
      <c r="G39" s="95">
        <f t="shared" si="3"/>
        <v>0</v>
      </c>
    </row>
    <row r="40" spans="1:9">
      <c r="A40" s="94"/>
      <c r="B40" s="94" t="s">
        <v>82</v>
      </c>
      <c r="C40" s="95">
        <f t="shared" si="4"/>
        <v>0</v>
      </c>
      <c r="D40" s="95">
        <f t="shared" si="0"/>
        <v>0</v>
      </c>
      <c r="E40" s="95">
        <f t="shared" si="6"/>
        <v>0</v>
      </c>
      <c r="F40" s="95">
        <f t="shared" si="5"/>
        <v>0</v>
      </c>
      <c r="G40" s="95">
        <f t="shared" si="3"/>
        <v>0</v>
      </c>
    </row>
    <row r="41" spans="1:9">
      <c r="A41" s="94"/>
      <c r="B41" s="94" t="s">
        <v>83</v>
      </c>
      <c r="C41" s="95">
        <f t="shared" si="4"/>
        <v>0</v>
      </c>
      <c r="D41" s="95">
        <f t="shared" si="0"/>
        <v>0</v>
      </c>
      <c r="E41" s="95">
        <f t="shared" si="6"/>
        <v>0</v>
      </c>
      <c r="F41" s="95">
        <f t="shared" si="5"/>
        <v>0</v>
      </c>
      <c r="G41" s="95">
        <f t="shared" si="3"/>
        <v>0</v>
      </c>
    </row>
    <row r="42" spans="1:9">
      <c r="A42" s="94"/>
      <c r="B42" s="94" t="s">
        <v>84</v>
      </c>
      <c r="C42" s="95">
        <f t="shared" si="4"/>
        <v>0</v>
      </c>
      <c r="D42" s="95">
        <f t="shared" ref="D42:D73" si="7">C42*$D$5/12</f>
        <v>0</v>
      </c>
      <c r="E42" s="95">
        <f t="shared" si="6"/>
        <v>0</v>
      </c>
      <c r="F42" s="95">
        <f t="shared" si="5"/>
        <v>0</v>
      </c>
      <c r="G42" s="95">
        <f t="shared" si="3"/>
        <v>0</v>
      </c>
    </row>
    <row r="43" spans="1:9">
      <c r="A43" s="94"/>
      <c r="B43" s="94" t="s">
        <v>85</v>
      </c>
      <c r="C43" s="95">
        <f t="shared" si="4"/>
        <v>0</v>
      </c>
      <c r="D43" s="95">
        <f t="shared" si="7"/>
        <v>0</v>
      </c>
      <c r="E43" s="95">
        <f t="shared" si="6"/>
        <v>0</v>
      </c>
      <c r="F43" s="95">
        <f t="shared" si="5"/>
        <v>0</v>
      </c>
      <c r="G43" s="95">
        <f t="shared" si="3"/>
        <v>0</v>
      </c>
    </row>
    <row r="44" spans="1:9">
      <c r="A44" s="94"/>
      <c r="B44" s="94" t="s">
        <v>86</v>
      </c>
      <c r="C44" s="95">
        <f t="shared" si="4"/>
        <v>0</v>
      </c>
      <c r="D44" s="95">
        <f t="shared" si="7"/>
        <v>0</v>
      </c>
      <c r="E44" s="95">
        <f t="shared" si="6"/>
        <v>0</v>
      </c>
      <c r="F44" s="95">
        <f t="shared" si="5"/>
        <v>0</v>
      </c>
      <c r="G44" s="95">
        <f t="shared" si="3"/>
        <v>0</v>
      </c>
    </row>
    <row r="45" spans="1:9">
      <c r="A45" s="94"/>
      <c r="B45" s="94" t="s">
        <v>87</v>
      </c>
      <c r="C45" s="95">
        <f t="shared" si="4"/>
        <v>0</v>
      </c>
      <c r="D45" s="95">
        <f t="shared" si="7"/>
        <v>0</v>
      </c>
      <c r="E45" s="95">
        <f t="shared" si="6"/>
        <v>0</v>
      </c>
      <c r="F45" s="95">
        <f t="shared" si="5"/>
        <v>0</v>
      </c>
      <c r="G45" s="95">
        <f t="shared" si="3"/>
        <v>0</v>
      </c>
      <c r="H45" s="1"/>
      <c r="I45" s="1"/>
    </row>
    <row r="46" spans="1:9">
      <c r="A46" s="94" t="s">
        <v>14</v>
      </c>
      <c r="B46" s="94" t="s">
        <v>88</v>
      </c>
      <c r="C46" s="95">
        <f t="shared" si="4"/>
        <v>0</v>
      </c>
      <c r="D46" s="95">
        <f t="shared" si="7"/>
        <v>0</v>
      </c>
      <c r="E46" s="95">
        <f t="shared" si="6"/>
        <v>0</v>
      </c>
      <c r="F46" s="95">
        <f t="shared" si="5"/>
        <v>0</v>
      </c>
      <c r="G46" s="95">
        <f t="shared" si="3"/>
        <v>0</v>
      </c>
    </row>
    <row r="47" spans="1:9">
      <c r="A47" s="94"/>
      <c r="B47" s="94" t="s">
        <v>89</v>
      </c>
      <c r="C47" s="95">
        <f t="shared" si="4"/>
        <v>0</v>
      </c>
      <c r="D47" s="95">
        <f t="shared" si="7"/>
        <v>0</v>
      </c>
      <c r="E47" s="95">
        <f t="shared" si="6"/>
        <v>0</v>
      </c>
      <c r="F47" s="95">
        <f t="shared" si="5"/>
        <v>0</v>
      </c>
      <c r="G47" s="95">
        <f t="shared" si="3"/>
        <v>0</v>
      </c>
    </row>
    <row r="48" spans="1:9">
      <c r="A48" s="94"/>
      <c r="B48" s="94" t="s">
        <v>90</v>
      </c>
      <c r="C48" s="95">
        <f t="shared" si="4"/>
        <v>0</v>
      </c>
      <c r="D48" s="95">
        <f t="shared" si="7"/>
        <v>0</v>
      </c>
      <c r="E48" s="95">
        <f t="shared" si="6"/>
        <v>0</v>
      </c>
      <c r="F48" s="95">
        <f t="shared" si="5"/>
        <v>0</v>
      </c>
      <c r="G48" s="95">
        <f t="shared" si="3"/>
        <v>0</v>
      </c>
    </row>
    <row r="49" spans="1:9">
      <c r="A49" s="94"/>
      <c r="B49" s="94" t="s">
        <v>91</v>
      </c>
      <c r="C49" s="95">
        <f t="shared" si="4"/>
        <v>0</v>
      </c>
      <c r="D49" s="95">
        <f t="shared" si="7"/>
        <v>0</v>
      </c>
      <c r="E49" s="95">
        <f t="shared" si="6"/>
        <v>0</v>
      </c>
      <c r="F49" s="95">
        <f t="shared" si="5"/>
        <v>0</v>
      </c>
      <c r="G49" s="95">
        <f t="shared" si="3"/>
        <v>0</v>
      </c>
    </row>
    <row r="50" spans="1:9">
      <c r="A50" s="94"/>
      <c r="B50" s="94" t="s">
        <v>92</v>
      </c>
      <c r="C50" s="95">
        <f t="shared" si="4"/>
        <v>0</v>
      </c>
      <c r="D50" s="95">
        <f t="shared" si="7"/>
        <v>0</v>
      </c>
      <c r="E50" s="95">
        <f t="shared" si="6"/>
        <v>0</v>
      </c>
      <c r="F50" s="95">
        <f t="shared" si="5"/>
        <v>0</v>
      </c>
      <c r="G50" s="95">
        <f t="shared" si="3"/>
        <v>0</v>
      </c>
    </row>
    <row r="51" spans="1:9">
      <c r="A51" s="94"/>
      <c r="B51" s="94" t="s">
        <v>93</v>
      </c>
      <c r="C51" s="95">
        <f t="shared" si="4"/>
        <v>0</v>
      </c>
      <c r="D51" s="95">
        <f t="shared" si="7"/>
        <v>0</v>
      </c>
      <c r="E51" s="95">
        <f t="shared" si="6"/>
        <v>0</v>
      </c>
      <c r="F51" s="95">
        <f t="shared" si="5"/>
        <v>0</v>
      </c>
      <c r="G51" s="95">
        <f t="shared" si="3"/>
        <v>0</v>
      </c>
    </row>
    <row r="52" spans="1:9">
      <c r="A52" s="94"/>
      <c r="B52" s="94" t="s">
        <v>94</v>
      </c>
      <c r="C52" s="95">
        <f t="shared" si="4"/>
        <v>0</v>
      </c>
      <c r="D52" s="95">
        <f t="shared" si="7"/>
        <v>0</v>
      </c>
      <c r="E52" s="95">
        <f t="shared" si="6"/>
        <v>0</v>
      </c>
      <c r="F52" s="95">
        <f t="shared" si="5"/>
        <v>0</v>
      </c>
      <c r="G52" s="95">
        <f t="shared" si="3"/>
        <v>0</v>
      </c>
    </row>
    <row r="53" spans="1:9">
      <c r="A53" s="94"/>
      <c r="B53" s="94" t="s">
        <v>95</v>
      </c>
      <c r="C53" s="95">
        <f t="shared" si="4"/>
        <v>0</v>
      </c>
      <c r="D53" s="95">
        <f t="shared" si="7"/>
        <v>0</v>
      </c>
      <c r="E53" s="95">
        <f t="shared" si="6"/>
        <v>0</v>
      </c>
      <c r="F53" s="95">
        <f t="shared" si="5"/>
        <v>0</v>
      </c>
      <c r="G53" s="95">
        <f t="shared" si="3"/>
        <v>0</v>
      </c>
    </row>
    <row r="54" spans="1:9">
      <c r="A54" s="94"/>
      <c r="B54" s="94" t="s">
        <v>96</v>
      </c>
      <c r="C54" s="95">
        <f t="shared" si="4"/>
        <v>0</v>
      </c>
      <c r="D54" s="95">
        <f t="shared" si="7"/>
        <v>0</v>
      </c>
      <c r="E54" s="95">
        <f t="shared" si="6"/>
        <v>0</v>
      </c>
      <c r="F54" s="95">
        <f t="shared" si="5"/>
        <v>0</v>
      </c>
      <c r="G54" s="95">
        <f t="shared" si="3"/>
        <v>0</v>
      </c>
    </row>
    <row r="55" spans="1:9">
      <c r="A55" s="94"/>
      <c r="B55" s="94" t="s">
        <v>97</v>
      </c>
      <c r="C55" s="95">
        <f t="shared" si="4"/>
        <v>0</v>
      </c>
      <c r="D55" s="95">
        <f t="shared" si="7"/>
        <v>0</v>
      </c>
      <c r="E55" s="95">
        <f t="shared" si="6"/>
        <v>0</v>
      </c>
      <c r="F55" s="95">
        <f t="shared" si="5"/>
        <v>0</v>
      </c>
      <c r="G55" s="95">
        <f t="shared" si="3"/>
        <v>0</v>
      </c>
    </row>
    <row r="56" spans="1:9">
      <c r="A56" s="94"/>
      <c r="B56" s="94" t="s">
        <v>98</v>
      </c>
      <c r="C56" s="95">
        <f t="shared" si="4"/>
        <v>0</v>
      </c>
      <c r="D56" s="95">
        <f t="shared" si="7"/>
        <v>0</v>
      </c>
      <c r="E56" s="95">
        <f t="shared" si="6"/>
        <v>0</v>
      </c>
      <c r="F56" s="95">
        <f t="shared" si="5"/>
        <v>0</v>
      </c>
      <c r="G56" s="95">
        <f t="shared" si="3"/>
        <v>0</v>
      </c>
    </row>
    <row r="57" spans="1:9">
      <c r="A57" s="94"/>
      <c r="B57" s="94" t="s">
        <v>99</v>
      </c>
      <c r="C57" s="95">
        <f t="shared" si="4"/>
        <v>0</v>
      </c>
      <c r="D57" s="95">
        <f t="shared" si="7"/>
        <v>0</v>
      </c>
      <c r="E57" s="95">
        <f t="shared" si="6"/>
        <v>0</v>
      </c>
      <c r="F57" s="95">
        <f t="shared" si="5"/>
        <v>0</v>
      </c>
      <c r="G57" s="95">
        <f t="shared" si="3"/>
        <v>0</v>
      </c>
      <c r="H57" s="1"/>
      <c r="I57" s="1"/>
    </row>
    <row r="58" spans="1:9">
      <c r="A58" s="94" t="s">
        <v>15</v>
      </c>
      <c r="B58" s="94" t="s">
        <v>100</v>
      </c>
      <c r="C58" s="95">
        <f t="shared" si="4"/>
        <v>0</v>
      </c>
      <c r="D58" s="95">
        <f t="shared" si="7"/>
        <v>0</v>
      </c>
      <c r="E58" s="95">
        <f t="shared" si="6"/>
        <v>0</v>
      </c>
      <c r="F58" s="95">
        <f t="shared" si="5"/>
        <v>0</v>
      </c>
      <c r="G58" s="95">
        <f t="shared" si="3"/>
        <v>0</v>
      </c>
    </row>
    <row r="59" spans="1:9">
      <c r="A59" s="94"/>
      <c r="B59" s="94" t="s">
        <v>101</v>
      </c>
      <c r="C59" s="95">
        <f t="shared" si="4"/>
        <v>0</v>
      </c>
      <c r="D59" s="95">
        <f t="shared" si="7"/>
        <v>0</v>
      </c>
      <c r="E59" s="95">
        <f t="shared" si="6"/>
        <v>0</v>
      </c>
      <c r="F59" s="95">
        <f t="shared" si="5"/>
        <v>0</v>
      </c>
      <c r="G59" s="95">
        <f t="shared" si="3"/>
        <v>0</v>
      </c>
    </row>
    <row r="60" spans="1:9">
      <c r="A60" s="94"/>
      <c r="B60" s="94" t="s">
        <v>102</v>
      </c>
      <c r="C60" s="95">
        <f t="shared" si="4"/>
        <v>0</v>
      </c>
      <c r="D60" s="95">
        <f t="shared" si="7"/>
        <v>0</v>
      </c>
      <c r="E60" s="95">
        <f t="shared" si="6"/>
        <v>0</v>
      </c>
      <c r="F60" s="95">
        <f t="shared" si="5"/>
        <v>0</v>
      </c>
      <c r="G60" s="95">
        <f t="shared" si="3"/>
        <v>0</v>
      </c>
    </row>
    <row r="61" spans="1:9">
      <c r="A61" s="94"/>
      <c r="B61" s="94" t="s">
        <v>103</v>
      </c>
      <c r="C61" s="95">
        <f t="shared" si="4"/>
        <v>0</v>
      </c>
      <c r="D61" s="95">
        <f t="shared" si="7"/>
        <v>0</v>
      </c>
      <c r="E61" s="95">
        <f t="shared" si="6"/>
        <v>0</v>
      </c>
      <c r="F61" s="95">
        <f t="shared" si="5"/>
        <v>0</v>
      </c>
      <c r="G61" s="95">
        <f t="shared" si="3"/>
        <v>0</v>
      </c>
    </row>
    <row r="62" spans="1:9">
      <c r="A62" s="94"/>
      <c r="B62" s="94" t="s">
        <v>104</v>
      </c>
      <c r="C62" s="95">
        <f t="shared" si="4"/>
        <v>0</v>
      </c>
      <c r="D62" s="95">
        <f t="shared" si="7"/>
        <v>0</v>
      </c>
      <c r="E62" s="95">
        <f t="shared" si="6"/>
        <v>0</v>
      </c>
      <c r="F62" s="95">
        <f t="shared" si="5"/>
        <v>0</v>
      </c>
      <c r="G62" s="95">
        <f t="shared" si="3"/>
        <v>0</v>
      </c>
    </row>
    <row r="63" spans="1:9">
      <c r="A63" s="94"/>
      <c r="B63" s="94" t="s">
        <v>105</v>
      </c>
      <c r="C63" s="95">
        <f t="shared" si="4"/>
        <v>0</v>
      </c>
      <c r="D63" s="95">
        <f t="shared" si="7"/>
        <v>0</v>
      </c>
      <c r="E63" s="95">
        <f t="shared" si="6"/>
        <v>0</v>
      </c>
      <c r="F63" s="95">
        <f t="shared" si="5"/>
        <v>0</v>
      </c>
      <c r="G63" s="95">
        <f t="shared" si="3"/>
        <v>0</v>
      </c>
    </row>
    <row r="64" spans="1:9">
      <c r="A64" s="94"/>
      <c r="B64" s="94" t="s">
        <v>106</v>
      </c>
      <c r="C64" s="95">
        <f t="shared" si="4"/>
        <v>0</v>
      </c>
      <c r="D64" s="95">
        <f t="shared" si="7"/>
        <v>0</v>
      </c>
      <c r="E64" s="95">
        <f t="shared" si="6"/>
        <v>0</v>
      </c>
      <c r="F64" s="95">
        <f t="shared" si="5"/>
        <v>0</v>
      </c>
      <c r="G64" s="95">
        <f t="shared" si="3"/>
        <v>0</v>
      </c>
    </row>
    <row r="65" spans="1:9">
      <c r="A65" s="94"/>
      <c r="B65" s="94" t="s">
        <v>107</v>
      </c>
      <c r="C65" s="95">
        <f t="shared" si="4"/>
        <v>0</v>
      </c>
      <c r="D65" s="95">
        <f t="shared" si="7"/>
        <v>0</v>
      </c>
      <c r="E65" s="95">
        <f t="shared" si="6"/>
        <v>0</v>
      </c>
      <c r="F65" s="95">
        <f t="shared" si="5"/>
        <v>0</v>
      </c>
      <c r="G65" s="95">
        <f t="shared" si="3"/>
        <v>0</v>
      </c>
    </row>
    <row r="66" spans="1:9">
      <c r="A66" s="94"/>
      <c r="B66" s="94" t="s">
        <v>108</v>
      </c>
      <c r="C66" s="95">
        <f t="shared" si="4"/>
        <v>0</v>
      </c>
      <c r="D66" s="95">
        <f t="shared" si="7"/>
        <v>0</v>
      </c>
      <c r="E66" s="95">
        <f t="shared" si="6"/>
        <v>0</v>
      </c>
      <c r="F66" s="95">
        <f t="shared" si="5"/>
        <v>0</v>
      </c>
      <c r="G66" s="95">
        <f t="shared" si="3"/>
        <v>0</v>
      </c>
    </row>
    <row r="67" spans="1:9">
      <c r="A67" s="94"/>
      <c r="B67" s="94" t="s">
        <v>109</v>
      </c>
      <c r="C67" s="95">
        <f t="shared" si="4"/>
        <v>0</v>
      </c>
      <c r="D67" s="95">
        <f t="shared" si="7"/>
        <v>0</v>
      </c>
      <c r="E67" s="95">
        <f t="shared" si="6"/>
        <v>0</v>
      </c>
      <c r="F67" s="95">
        <f t="shared" si="5"/>
        <v>0</v>
      </c>
      <c r="G67" s="95">
        <f t="shared" si="3"/>
        <v>0</v>
      </c>
    </row>
    <row r="68" spans="1:9">
      <c r="A68" s="94"/>
      <c r="B68" s="94" t="s">
        <v>110</v>
      </c>
      <c r="C68" s="95">
        <f t="shared" si="4"/>
        <v>0</v>
      </c>
      <c r="D68" s="95">
        <f t="shared" si="7"/>
        <v>0</v>
      </c>
      <c r="E68" s="95">
        <f t="shared" si="6"/>
        <v>0</v>
      </c>
      <c r="F68" s="95">
        <f t="shared" si="5"/>
        <v>0</v>
      </c>
      <c r="G68" s="95">
        <f t="shared" si="3"/>
        <v>0</v>
      </c>
    </row>
    <row r="69" spans="1:9">
      <c r="A69" s="94"/>
      <c r="B69" s="94" t="s">
        <v>111</v>
      </c>
      <c r="C69" s="95">
        <f t="shared" si="4"/>
        <v>0</v>
      </c>
      <c r="D69" s="95">
        <f t="shared" si="7"/>
        <v>0</v>
      </c>
      <c r="E69" s="95">
        <f t="shared" si="6"/>
        <v>0</v>
      </c>
      <c r="F69" s="95">
        <f t="shared" si="5"/>
        <v>0</v>
      </c>
      <c r="G69" s="95">
        <f t="shared" si="3"/>
        <v>0</v>
      </c>
      <c r="H69" s="1"/>
      <c r="I69" s="1"/>
    </row>
    <row r="70" spans="1:9">
      <c r="A70" s="94" t="s">
        <v>16</v>
      </c>
      <c r="B70" s="94" t="s">
        <v>112</v>
      </c>
      <c r="C70" s="95">
        <f t="shared" si="4"/>
        <v>0</v>
      </c>
      <c r="D70" s="95">
        <f t="shared" si="7"/>
        <v>0</v>
      </c>
      <c r="E70" s="95">
        <f t="shared" si="6"/>
        <v>0</v>
      </c>
      <c r="F70" s="95">
        <f t="shared" si="5"/>
        <v>0</v>
      </c>
      <c r="G70" s="95">
        <f t="shared" si="3"/>
        <v>0</v>
      </c>
    </row>
    <row r="71" spans="1:9">
      <c r="A71" s="94"/>
      <c r="B71" s="94" t="s">
        <v>113</v>
      </c>
      <c r="C71" s="95">
        <f t="shared" si="4"/>
        <v>0</v>
      </c>
      <c r="D71" s="95">
        <f t="shared" si="7"/>
        <v>0</v>
      </c>
      <c r="E71" s="95">
        <f t="shared" si="6"/>
        <v>0</v>
      </c>
      <c r="F71" s="95">
        <f t="shared" si="5"/>
        <v>0</v>
      </c>
      <c r="G71" s="95">
        <f t="shared" si="3"/>
        <v>0</v>
      </c>
    </row>
    <row r="72" spans="1:9">
      <c r="A72" s="94"/>
      <c r="B72" s="94" t="s">
        <v>114</v>
      </c>
      <c r="C72" s="95">
        <f t="shared" si="4"/>
        <v>0</v>
      </c>
      <c r="D72" s="95">
        <f t="shared" si="7"/>
        <v>0</v>
      </c>
      <c r="E72" s="95">
        <f t="shared" si="6"/>
        <v>0</v>
      </c>
      <c r="F72" s="95">
        <f t="shared" si="5"/>
        <v>0</v>
      </c>
      <c r="G72" s="95">
        <f t="shared" si="3"/>
        <v>0</v>
      </c>
    </row>
    <row r="73" spans="1:9">
      <c r="A73" s="94"/>
      <c r="B73" s="94" t="s">
        <v>115</v>
      </c>
      <c r="C73" s="95">
        <f t="shared" si="4"/>
        <v>0</v>
      </c>
      <c r="D73" s="95">
        <f t="shared" si="7"/>
        <v>0</v>
      </c>
      <c r="E73" s="95">
        <f t="shared" si="6"/>
        <v>0</v>
      </c>
      <c r="F73" s="95">
        <f t="shared" si="5"/>
        <v>0</v>
      </c>
      <c r="G73" s="95">
        <f t="shared" si="3"/>
        <v>0</v>
      </c>
    </row>
    <row r="74" spans="1:9">
      <c r="A74" s="94"/>
      <c r="B74" s="94" t="s">
        <v>116</v>
      </c>
      <c r="C74" s="95">
        <f t="shared" si="4"/>
        <v>0</v>
      </c>
      <c r="D74" s="95">
        <f t="shared" ref="D74:D93" si="8">C74*$D$5/12</f>
        <v>0</v>
      </c>
      <c r="E74" s="95">
        <f t="shared" si="6"/>
        <v>0</v>
      </c>
      <c r="F74" s="95">
        <f t="shared" si="5"/>
        <v>0</v>
      </c>
      <c r="G74" s="95">
        <f t="shared" si="3"/>
        <v>0</v>
      </c>
    </row>
    <row r="75" spans="1:9">
      <c r="A75" s="94"/>
      <c r="B75" s="94" t="s">
        <v>117</v>
      </c>
      <c r="C75" s="95">
        <f t="shared" si="4"/>
        <v>0</v>
      </c>
      <c r="D75" s="95">
        <f t="shared" si="8"/>
        <v>0</v>
      </c>
      <c r="E75" s="95">
        <f t="shared" si="6"/>
        <v>0</v>
      </c>
      <c r="F75" s="95">
        <f t="shared" ref="F75:F93" si="9">$D$8</f>
        <v>0</v>
      </c>
      <c r="G75" s="95">
        <f t="shared" ref="G75:G93" si="10">C75-E75</f>
        <v>0</v>
      </c>
    </row>
    <row r="76" spans="1:9">
      <c r="A76" s="94"/>
      <c r="B76" s="94" t="s">
        <v>118</v>
      </c>
      <c r="C76" s="95">
        <f t="shared" ref="C76:C93" si="11">G75</f>
        <v>0</v>
      </c>
      <c r="D76" s="95">
        <f t="shared" si="8"/>
        <v>0</v>
      </c>
      <c r="E76" s="95">
        <f t="shared" si="6"/>
        <v>0</v>
      </c>
      <c r="F76" s="95">
        <f t="shared" si="9"/>
        <v>0</v>
      </c>
      <c r="G76" s="95">
        <f t="shared" si="10"/>
        <v>0</v>
      </c>
    </row>
    <row r="77" spans="1:9">
      <c r="A77" s="94"/>
      <c r="B77" s="94" t="s">
        <v>119</v>
      </c>
      <c r="C77" s="95">
        <f t="shared" si="11"/>
        <v>0</v>
      </c>
      <c r="D77" s="95">
        <f t="shared" si="8"/>
        <v>0</v>
      </c>
      <c r="E77" s="95">
        <f t="shared" si="6"/>
        <v>0</v>
      </c>
      <c r="F77" s="95">
        <f t="shared" si="9"/>
        <v>0</v>
      </c>
      <c r="G77" s="95">
        <f t="shared" si="10"/>
        <v>0</v>
      </c>
    </row>
    <row r="78" spans="1:9">
      <c r="A78" s="94"/>
      <c r="B78" s="94" t="s">
        <v>120</v>
      </c>
      <c r="C78" s="95">
        <f t="shared" si="11"/>
        <v>0</v>
      </c>
      <c r="D78" s="95">
        <f t="shared" si="8"/>
        <v>0</v>
      </c>
      <c r="E78" s="95">
        <f t="shared" si="6"/>
        <v>0</v>
      </c>
      <c r="F78" s="95">
        <f t="shared" si="9"/>
        <v>0</v>
      </c>
      <c r="G78" s="95">
        <f t="shared" si="10"/>
        <v>0</v>
      </c>
    </row>
    <row r="79" spans="1:9">
      <c r="A79" s="94"/>
      <c r="B79" s="94" t="s">
        <v>121</v>
      </c>
      <c r="C79" s="95">
        <f t="shared" si="11"/>
        <v>0</v>
      </c>
      <c r="D79" s="95">
        <f t="shared" si="8"/>
        <v>0</v>
      </c>
      <c r="E79" s="95">
        <f t="shared" si="6"/>
        <v>0</v>
      </c>
      <c r="F79" s="95">
        <f t="shared" si="9"/>
        <v>0</v>
      </c>
      <c r="G79" s="95">
        <f t="shared" si="10"/>
        <v>0</v>
      </c>
    </row>
    <row r="80" spans="1:9">
      <c r="A80" s="94"/>
      <c r="B80" s="94" t="s">
        <v>122</v>
      </c>
      <c r="C80" s="95">
        <f t="shared" si="11"/>
        <v>0</v>
      </c>
      <c r="D80" s="95">
        <f t="shared" si="8"/>
        <v>0</v>
      </c>
      <c r="E80" s="95">
        <f t="shared" si="6"/>
        <v>0</v>
      </c>
      <c r="F80" s="95">
        <f t="shared" si="9"/>
        <v>0</v>
      </c>
      <c r="G80" s="95">
        <f t="shared" si="10"/>
        <v>0</v>
      </c>
    </row>
    <row r="81" spans="1:9">
      <c r="A81" s="94"/>
      <c r="B81" s="94" t="s">
        <v>123</v>
      </c>
      <c r="C81" s="95">
        <f t="shared" si="11"/>
        <v>0</v>
      </c>
      <c r="D81" s="95">
        <f t="shared" si="8"/>
        <v>0</v>
      </c>
      <c r="E81" s="95">
        <f t="shared" ref="E81:E93" si="12">F81-D81</f>
        <v>0</v>
      </c>
      <c r="F81" s="95">
        <f t="shared" si="9"/>
        <v>0</v>
      </c>
      <c r="G81" s="95">
        <f t="shared" si="10"/>
        <v>0</v>
      </c>
      <c r="H81" s="1"/>
      <c r="I81" s="1"/>
    </row>
    <row r="82" spans="1:9">
      <c r="A82" s="94" t="s">
        <v>279</v>
      </c>
      <c r="B82" s="94" t="s">
        <v>214</v>
      </c>
      <c r="C82" s="95">
        <f t="shared" si="11"/>
        <v>0</v>
      </c>
      <c r="D82" s="95">
        <f t="shared" si="8"/>
        <v>0</v>
      </c>
      <c r="E82" s="95">
        <f t="shared" si="12"/>
        <v>0</v>
      </c>
      <c r="F82" s="95">
        <f t="shared" si="9"/>
        <v>0</v>
      </c>
      <c r="G82" s="95">
        <f t="shared" si="10"/>
        <v>0</v>
      </c>
    </row>
    <row r="83" spans="1:9">
      <c r="A83" s="94"/>
      <c r="B83" s="94" t="s">
        <v>215</v>
      </c>
      <c r="C83" s="95">
        <f t="shared" si="11"/>
        <v>0</v>
      </c>
      <c r="D83" s="95">
        <f t="shared" si="8"/>
        <v>0</v>
      </c>
      <c r="E83" s="95">
        <f t="shared" si="12"/>
        <v>0</v>
      </c>
      <c r="F83" s="95">
        <f t="shared" si="9"/>
        <v>0</v>
      </c>
      <c r="G83" s="95">
        <f t="shared" si="10"/>
        <v>0</v>
      </c>
    </row>
    <row r="84" spans="1:9">
      <c r="A84" s="94"/>
      <c r="B84" s="94" t="s">
        <v>216</v>
      </c>
      <c r="C84" s="95">
        <f t="shared" si="11"/>
        <v>0</v>
      </c>
      <c r="D84" s="95">
        <f t="shared" si="8"/>
        <v>0</v>
      </c>
      <c r="E84" s="95">
        <f t="shared" si="12"/>
        <v>0</v>
      </c>
      <c r="F84" s="95">
        <f t="shared" si="9"/>
        <v>0</v>
      </c>
      <c r="G84" s="95">
        <f t="shared" si="10"/>
        <v>0</v>
      </c>
    </row>
    <row r="85" spans="1:9">
      <c r="A85" s="94"/>
      <c r="B85" s="94" t="s">
        <v>217</v>
      </c>
      <c r="C85" s="95">
        <f t="shared" si="11"/>
        <v>0</v>
      </c>
      <c r="D85" s="95">
        <f t="shared" si="8"/>
        <v>0</v>
      </c>
      <c r="E85" s="95">
        <f t="shared" si="12"/>
        <v>0</v>
      </c>
      <c r="F85" s="95">
        <f t="shared" si="9"/>
        <v>0</v>
      </c>
      <c r="G85" s="95">
        <f t="shared" si="10"/>
        <v>0</v>
      </c>
    </row>
    <row r="86" spans="1:9">
      <c r="A86" s="94"/>
      <c r="B86" s="94" t="s">
        <v>218</v>
      </c>
      <c r="C86" s="95">
        <f t="shared" si="11"/>
        <v>0</v>
      </c>
      <c r="D86" s="95">
        <f t="shared" si="8"/>
        <v>0</v>
      </c>
      <c r="E86" s="95">
        <f t="shared" si="12"/>
        <v>0</v>
      </c>
      <c r="F86" s="95">
        <f t="shared" si="9"/>
        <v>0</v>
      </c>
      <c r="G86" s="95">
        <f t="shared" si="10"/>
        <v>0</v>
      </c>
    </row>
    <row r="87" spans="1:9">
      <c r="A87" s="94"/>
      <c r="B87" s="94" t="s">
        <v>219</v>
      </c>
      <c r="C87" s="95">
        <f t="shared" si="11"/>
        <v>0</v>
      </c>
      <c r="D87" s="95">
        <f t="shared" si="8"/>
        <v>0</v>
      </c>
      <c r="E87" s="95">
        <f t="shared" si="12"/>
        <v>0</v>
      </c>
      <c r="F87" s="95">
        <f t="shared" si="9"/>
        <v>0</v>
      </c>
      <c r="G87" s="95">
        <f t="shared" si="10"/>
        <v>0</v>
      </c>
    </row>
    <row r="88" spans="1:9">
      <c r="A88" s="94"/>
      <c r="B88" s="94" t="s">
        <v>220</v>
      </c>
      <c r="C88" s="95">
        <f t="shared" si="11"/>
        <v>0</v>
      </c>
      <c r="D88" s="95">
        <f t="shared" si="8"/>
        <v>0</v>
      </c>
      <c r="E88" s="95">
        <f t="shared" si="12"/>
        <v>0</v>
      </c>
      <c r="F88" s="95">
        <f t="shared" si="9"/>
        <v>0</v>
      </c>
      <c r="G88" s="95">
        <f t="shared" si="10"/>
        <v>0</v>
      </c>
    </row>
    <row r="89" spans="1:9">
      <c r="A89" s="94"/>
      <c r="B89" s="94" t="s">
        <v>221</v>
      </c>
      <c r="C89" s="95">
        <f t="shared" si="11"/>
        <v>0</v>
      </c>
      <c r="D89" s="95">
        <f t="shared" si="8"/>
        <v>0</v>
      </c>
      <c r="E89" s="95">
        <f t="shared" si="12"/>
        <v>0</v>
      </c>
      <c r="F89" s="95">
        <f t="shared" si="9"/>
        <v>0</v>
      </c>
      <c r="G89" s="95">
        <f t="shared" si="10"/>
        <v>0</v>
      </c>
    </row>
    <row r="90" spans="1:9">
      <c r="A90" s="94"/>
      <c r="B90" s="94" t="s">
        <v>222</v>
      </c>
      <c r="C90" s="95">
        <f t="shared" si="11"/>
        <v>0</v>
      </c>
      <c r="D90" s="95">
        <f t="shared" si="8"/>
        <v>0</v>
      </c>
      <c r="E90" s="95">
        <f t="shared" si="12"/>
        <v>0</v>
      </c>
      <c r="F90" s="95">
        <f t="shared" si="9"/>
        <v>0</v>
      </c>
      <c r="G90" s="95">
        <f t="shared" si="10"/>
        <v>0</v>
      </c>
    </row>
    <row r="91" spans="1:9">
      <c r="A91" s="94"/>
      <c r="B91" s="94" t="s">
        <v>223</v>
      </c>
      <c r="C91" s="95">
        <f t="shared" si="11"/>
        <v>0</v>
      </c>
      <c r="D91" s="95">
        <f t="shared" si="8"/>
        <v>0</v>
      </c>
      <c r="E91" s="95">
        <f t="shared" si="12"/>
        <v>0</v>
      </c>
      <c r="F91" s="95">
        <f t="shared" si="9"/>
        <v>0</v>
      </c>
      <c r="G91" s="95">
        <f t="shared" si="10"/>
        <v>0</v>
      </c>
    </row>
    <row r="92" spans="1:9">
      <c r="A92" s="94"/>
      <c r="B92" s="94" t="s">
        <v>224</v>
      </c>
      <c r="C92" s="95">
        <f t="shared" si="11"/>
        <v>0</v>
      </c>
      <c r="D92" s="95">
        <f t="shared" si="8"/>
        <v>0</v>
      </c>
      <c r="E92" s="95">
        <f t="shared" si="12"/>
        <v>0</v>
      </c>
      <c r="F92" s="95">
        <f t="shared" si="9"/>
        <v>0</v>
      </c>
      <c r="G92" s="95">
        <f t="shared" si="10"/>
        <v>0</v>
      </c>
    </row>
    <row r="93" spans="1:9">
      <c r="A93" s="94"/>
      <c r="B93" s="94" t="s">
        <v>225</v>
      </c>
      <c r="C93" s="95">
        <f t="shared" si="11"/>
        <v>0</v>
      </c>
      <c r="D93" s="95">
        <f t="shared" si="8"/>
        <v>0</v>
      </c>
      <c r="E93" s="95">
        <f t="shared" si="12"/>
        <v>0</v>
      </c>
      <c r="F93" s="95">
        <f t="shared" si="9"/>
        <v>0</v>
      </c>
      <c r="G93" s="95">
        <f t="shared" si="10"/>
        <v>0</v>
      </c>
    </row>
    <row r="94" spans="1:9">
      <c r="A94" s="93"/>
      <c r="B94" s="93"/>
      <c r="C94" s="93"/>
      <c r="D94" s="102">
        <f>SUM(D10:D93)</f>
        <v>0</v>
      </c>
      <c r="E94" s="102">
        <f>SUM(E10:E93)</f>
        <v>0</v>
      </c>
      <c r="F94" s="93"/>
      <c r="G94" s="93"/>
    </row>
    <row r="95" spans="1:9" ht="39.950000000000003" customHeight="1">
      <c r="A95" s="434" t="s">
        <v>418</v>
      </c>
      <c r="B95" s="434"/>
      <c r="C95" s="434"/>
      <c r="D95" s="434"/>
      <c r="E95" s="434"/>
      <c r="F95" s="434"/>
      <c r="G95" s="434"/>
      <c r="H95" s="434"/>
    </row>
    <row r="96" spans="1:9">
      <c r="A96" t="s">
        <v>536</v>
      </c>
    </row>
    <row r="97" spans="1:2">
      <c r="A97">
        <v>1</v>
      </c>
      <c r="B97" t="s">
        <v>537</v>
      </c>
    </row>
    <row r="98" spans="1:2">
      <c r="A98">
        <v>2</v>
      </c>
      <c r="B98" t="s">
        <v>538</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8"/>
  <sheetViews>
    <sheetView view="pageBreakPreview" topLeftCell="A11" zoomScale="80" zoomScaleSheetLayoutView="80" workbookViewId="0">
      <selection activeCell="D52" sqref="D52"/>
    </sheetView>
  </sheetViews>
  <sheetFormatPr defaultRowHeight="15"/>
  <cols>
    <col min="2" max="2" width="7.5703125" bestFit="1" customWidth="1"/>
    <col min="3" max="3" width="30.5703125" customWidth="1"/>
    <col min="4" max="4" width="16.85546875" bestFit="1" customWidth="1"/>
    <col min="5" max="5" width="15.7109375"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2" t="s">
        <v>552</v>
      </c>
      <c r="D2" s="412"/>
      <c r="E2" s="412"/>
      <c r="F2" s="412"/>
      <c r="G2" s="412"/>
      <c r="H2" s="412"/>
      <c r="I2" s="412"/>
      <c r="J2" s="412"/>
      <c r="K2" s="412"/>
      <c r="L2" s="209"/>
    </row>
    <row r="3" spans="3:22">
      <c r="C3" s="82" t="s">
        <v>0</v>
      </c>
      <c r="D3" s="82"/>
      <c r="E3" s="83" t="s">
        <v>2</v>
      </c>
      <c r="F3" s="83" t="s">
        <v>3</v>
      </c>
      <c r="G3" s="83" t="s">
        <v>4</v>
      </c>
      <c r="H3" s="83" t="s">
        <v>5</v>
      </c>
      <c r="I3" s="83" t="s">
        <v>6</v>
      </c>
      <c r="J3" s="83" t="s">
        <v>167</v>
      </c>
      <c r="K3" s="83" t="s">
        <v>166</v>
      </c>
      <c r="L3" s="93"/>
      <c r="M3" s="93"/>
      <c r="N3" s="241"/>
      <c r="O3" s="241"/>
      <c r="P3" s="241"/>
      <c r="Q3" s="241"/>
      <c r="R3" s="241"/>
      <c r="S3" s="241"/>
      <c r="T3" s="241"/>
      <c r="U3" s="241"/>
      <c r="V3" s="241"/>
    </row>
    <row r="4" spans="3:22">
      <c r="C4" s="94" t="s">
        <v>365</v>
      </c>
      <c r="D4" s="94"/>
      <c r="E4" s="94"/>
      <c r="F4" s="94"/>
      <c r="G4" s="94"/>
      <c r="H4" s="94"/>
      <c r="I4" s="94"/>
      <c r="J4" s="94"/>
      <c r="K4" s="94"/>
      <c r="L4" s="93"/>
      <c r="M4" s="93"/>
      <c r="N4" s="436" t="s">
        <v>532</v>
      </c>
      <c r="O4" s="436"/>
      <c r="P4" s="436"/>
      <c r="Q4" s="436"/>
      <c r="R4" s="436"/>
      <c r="S4" s="241"/>
      <c r="T4" s="241"/>
      <c r="U4" s="436" t="s">
        <v>533</v>
      </c>
      <c r="V4" s="436"/>
    </row>
    <row r="5" spans="3:22">
      <c r="C5" s="94" t="s">
        <v>366</v>
      </c>
      <c r="D5" s="189"/>
      <c r="E5" s="94"/>
      <c r="F5" s="95">
        <f t="shared" ref="F5:K8" si="0">E14</f>
        <v>0</v>
      </c>
      <c r="G5" s="95">
        <f t="shared" si="0"/>
        <v>0</v>
      </c>
      <c r="H5" s="95">
        <f t="shared" si="0"/>
        <v>0</v>
      </c>
      <c r="I5" s="95">
        <f t="shared" si="0"/>
        <v>0</v>
      </c>
      <c r="J5" s="95">
        <f t="shared" si="0"/>
        <v>0</v>
      </c>
      <c r="K5" s="95">
        <f t="shared" si="0"/>
        <v>0</v>
      </c>
      <c r="L5" s="93"/>
      <c r="M5" s="93"/>
      <c r="N5" s="435" t="s">
        <v>534</v>
      </c>
      <c r="O5" s="435"/>
      <c r="P5" s="435"/>
      <c r="Q5" s="435"/>
      <c r="R5" s="435"/>
      <c r="S5" s="241"/>
      <c r="T5" s="241"/>
      <c r="U5" s="435" t="s">
        <v>534</v>
      </c>
      <c r="V5" s="435"/>
    </row>
    <row r="6" spans="3:22">
      <c r="C6" s="94" t="s">
        <v>456</v>
      </c>
      <c r="D6" s="189"/>
      <c r="E6" s="94"/>
      <c r="F6" s="95">
        <f t="shared" si="0"/>
        <v>5289011.1146250004</v>
      </c>
      <c r="G6" s="95">
        <f t="shared" si="0"/>
        <v>6479038.6154156253</v>
      </c>
      <c r="H6" s="95">
        <f t="shared" si="0"/>
        <v>7774846.3384987488</v>
      </c>
      <c r="I6" s="95">
        <f t="shared" si="0"/>
        <v>9184037.2373516485</v>
      </c>
      <c r="J6" s="95">
        <f t="shared" si="0"/>
        <v>10714710.110243591</v>
      </c>
      <c r="K6" s="95">
        <f t="shared" si="0"/>
        <v>12375490.177331345</v>
      </c>
      <c r="L6" s="93"/>
      <c r="M6" s="93"/>
      <c r="N6" s="242" t="s">
        <v>0</v>
      </c>
      <c r="O6" s="242" t="s">
        <v>161</v>
      </c>
      <c r="P6" s="242" t="s">
        <v>162</v>
      </c>
      <c r="Q6" s="242" t="s">
        <v>315</v>
      </c>
      <c r="R6" s="242" t="s">
        <v>316</v>
      </c>
      <c r="S6" s="241"/>
      <c r="T6" s="241"/>
      <c r="U6" s="328" t="s">
        <v>0</v>
      </c>
      <c r="V6" s="328" t="s">
        <v>491</v>
      </c>
    </row>
    <row r="7" spans="3:22">
      <c r="C7" s="94" t="s">
        <v>692</v>
      </c>
      <c r="D7" s="189"/>
      <c r="E7" s="94"/>
      <c r="F7" s="95">
        <f t="shared" si="0"/>
        <v>21932.14575</v>
      </c>
      <c r="G7" s="95">
        <f t="shared" si="0"/>
        <v>34543.129556250009</v>
      </c>
      <c r="H7" s="95">
        <f t="shared" si="0"/>
        <v>48360.381378749997</v>
      </c>
      <c r="I7" s="95">
        <f t="shared" si="0"/>
        <v>63473.000559609383</v>
      </c>
      <c r="J7" s="95">
        <f t="shared" si="0"/>
        <v>79975.980705107824</v>
      </c>
      <c r="K7" s="95">
        <f t="shared" si="0"/>
        <v>97970.576363757122</v>
      </c>
      <c r="L7" s="93"/>
      <c r="M7" s="93"/>
      <c r="N7" s="243" t="s">
        <v>367</v>
      </c>
      <c r="O7" s="243">
        <f>'13.Facility 2 Grain Processing'!C155</f>
        <v>20</v>
      </c>
      <c r="P7" s="243">
        <f>'13.Facility 2 Grain Processing'!C156</f>
        <v>20</v>
      </c>
      <c r="Q7" s="243">
        <f>'13.Facility 2 Grain Processing'!C157</f>
        <v>35</v>
      </c>
      <c r="R7" s="243">
        <f>'13.Facility 2 Grain Processing'!C158</f>
        <v>30</v>
      </c>
      <c r="S7" s="241"/>
      <c r="T7" s="241"/>
      <c r="U7" s="243" t="s">
        <v>343</v>
      </c>
      <c r="V7" s="243">
        <f>'17.Facility 6 Horti Processing '!C163</f>
        <v>0</v>
      </c>
    </row>
    <row r="8" spans="3:22">
      <c r="C8" s="94" t="str">
        <f>C17</f>
        <v xml:space="preserve">Horticulture Processing </v>
      </c>
      <c r="D8" s="94"/>
      <c r="E8" s="94"/>
      <c r="F8" s="95">
        <f>E17</f>
        <v>0</v>
      </c>
      <c r="G8" s="95">
        <f t="shared" si="0"/>
        <v>0</v>
      </c>
      <c r="H8" s="95">
        <f t="shared" si="0"/>
        <v>0</v>
      </c>
      <c r="I8" s="95">
        <f t="shared" si="0"/>
        <v>0</v>
      </c>
      <c r="J8" s="95">
        <f t="shared" si="0"/>
        <v>0</v>
      </c>
      <c r="K8" s="95">
        <f t="shared" si="0"/>
        <v>0</v>
      </c>
      <c r="L8" s="93"/>
      <c r="M8" s="93"/>
      <c r="N8" s="243">
        <f>'13.Facility 2 Grain Processing'!A159</f>
        <v>0</v>
      </c>
      <c r="O8" s="243">
        <f>('13.Facility 2 Grain Processing'!B159*'13.Facility 2 Grain Processing'!C159/1000)*100</f>
        <v>0</v>
      </c>
      <c r="P8" s="243">
        <f>O8</f>
        <v>0</v>
      </c>
      <c r="Q8" s="243">
        <f t="shared" ref="Q8:R8" si="1">P8</f>
        <v>0</v>
      </c>
      <c r="R8" s="243">
        <f t="shared" si="1"/>
        <v>0</v>
      </c>
      <c r="S8" s="241"/>
      <c r="T8" s="241"/>
      <c r="U8" s="243" t="str">
        <f>'17.Facility 6 Horti Processing '!A164</f>
        <v>Other Consumbales</v>
      </c>
      <c r="V8" s="244">
        <f>'17.Facility 6 Horti Processing '!C164</f>
        <v>0</v>
      </c>
    </row>
    <row r="9" spans="3:22">
      <c r="C9" s="94"/>
      <c r="D9" s="94"/>
      <c r="E9" s="94"/>
      <c r="F9" s="95"/>
      <c r="G9" s="95"/>
      <c r="H9" s="95"/>
      <c r="I9" s="95"/>
      <c r="J9" s="95"/>
      <c r="K9" s="95"/>
      <c r="L9" s="93"/>
      <c r="M9" s="93"/>
      <c r="N9" s="243" t="str">
        <f>'13.Facility 2 Grain Processing'!A160</f>
        <v xml:space="preserve">Daily Labour </v>
      </c>
      <c r="O9" s="245">
        <f>('13.Facility 2 Grain Processing'!B160*'13.Facility 2 Grain Processing'!C160)/('13.Facility 2 Grain Processing'!B5*'13.Facility 2 Grain Processing'!B6)</f>
        <v>21.875</v>
      </c>
      <c r="P9" s="245">
        <f>O9</f>
        <v>21.875</v>
      </c>
      <c r="Q9" s="245">
        <f t="shared" ref="Q9:R9" si="2">P9</f>
        <v>21.875</v>
      </c>
      <c r="R9" s="245">
        <f t="shared" si="2"/>
        <v>21.875</v>
      </c>
      <c r="S9" s="241"/>
      <c r="T9" s="241"/>
      <c r="U9" s="243" t="str">
        <f>'17.Facility 6 Horti Processing '!A165</f>
        <v xml:space="preserve">Daily Labour </v>
      </c>
      <c r="V9" s="244">
        <f>'17.Facility 6 Horti Processing '!B165*'17.Facility 6 Horti Processing '!C165/('17.Facility 6 Horti Processing '!B5*'17.Facility 6 Horti Processing '!B6)</f>
        <v>0</v>
      </c>
    </row>
    <row r="10" spans="3:22">
      <c r="C10" s="94"/>
      <c r="D10" s="94"/>
      <c r="E10" s="94"/>
      <c r="F10" s="95"/>
      <c r="G10" s="95"/>
      <c r="H10" s="95"/>
      <c r="I10" s="95"/>
      <c r="J10" s="95"/>
      <c r="K10" s="95"/>
      <c r="L10" s="93"/>
      <c r="M10" s="93"/>
      <c r="N10" s="243" t="str">
        <f>'13.Facility 2 Grain Processing'!A161</f>
        <v>Electricity Charges</v>
      </c>
      <c r="O10" s="245">
        <f>('13.Facility 2 Grain Processing'!B161*'13.Facility 2 Grain Processing'!C161)/('13.Facility 2 Grain Processing'!B5*'13.Facility 2 Grain Processing'!B6)</f>
        <v>0</v>
      </c>
      <c r="P10" s="245">
        <f>O10</f>
        <v>0</v>
      </c>
      <c r="Q10" s="245">
        <f t="shared" ref="Q10" si="3">P10</f>
        <v>0</v>
      </c>
      <c r="R10" s="245">
        <f t="shared" ref="R10" si="4">Q10</f>
        <v>0</v>
      </c>
      <c r="S10" s="241"/>
      <c r="T10" s="241"/>
      <c r="U10" s="243" t="str">
        <f>'17.Facility 6 Horti Processing '!A166</f>
        <v>Electricity Charges</v>
      </c>
      <c r="V10" s="243">
        <f>'17.Facility 6 Horti Processing '!B166*'17.Facility 6 Horti Processing '!C166/('17.Facility 6 Horti Processing '!B5*'17.Facility 6 Horti Processing '!B6)</f>
        <v>0</v>
      </c>
    </row>
    <row r="11" spans="3:22">
      <c r="C11" s="94" t="s">
        <v>1</v>
      </c>
      <c r="D11" s="94"/>
      <c r="E11" s="95"/>
      <c r="F11" s="95">
        <f t="shared" ref="F11:K11" si="5">SUM(F5:F10)</f>
        <v>5310943.2603750005</v>
      </c>
      <c r="G11" s="95">
        <f t="shared" si="5"/>
        <v>6513581.7449718751</v>
      </c>
      <c r="H11" s="95">
        <f t="shared" si="5"/>
        <v>7823206.7198774992</v>
      </c>
      <c r="I11" s="95">
        <f t="shared" si="5"/>
        <v>9247510.2379112579</v>
      </c>
      <c r="J11" s="95">
        <f t="shared" si="5"/>
        <v>10794686.090948699</v>
      </c>
      <c r="K11" s="95">
        <f t="shared" si="5"/>
        <v>12473460.753695102</v>
      </c>
      <c r="L11" s="93"/>
      <c r="M11" s="93"/>
      <c r="N11" s="243" t="str">
        <f>'13.Facility 2 Grain Processing'!A162</f>
        <v>Loading/Unloading Charges</v>
      </c>
      <c r="O11" s="243">
        <f>'13.Facility 2 Grain Processing'!C162*2</f>
        <v>20</v>
      </c>
      <c r="P11" s="243">
        <f>O11</f>
        <v>20</v>
      </c>
      <c r="Q11" s="243">
        <f t="shared" ref="Q11:R12" si="6">P11</f>
        <v>20</v>
      </c>
      <c r="R11" s="243">
        <f t="shared" si="6"/>
        <v>20</v>
      </c>
      <c r="S11" s="241"/>
      <c r="T11" s="241"/>
      <c r="U11" s="243" t="str">
        <f>'17.Facility 6 Horti Processing '!A167</f>
        <v>Loading/Unloading Charges</v>
      </c>
      <c r="V11" s="243">
        <f>'17.Facility 6 Horti Processing '!C167</f>
        <v>0</v>
      </c>
    </row>
    <row r="12" spans="3:22">
      <c r="C12" s="94"/>
      <c r="D12" s="94"/>
      <c r="E12" s="94"/>
      <c r="F12" s="95"/>
      <c r="G12" s="95"/>
      <c r="H12" s="95"/>
      <c r="I12" s="95"/>
      <c r="J12" s="95"/>
      <c r="K12" s="95"/>
      <c r="L12" s="93"/>
      <c r="M12" s="93"/>
      <c r="N12" s="243" t="str">
        <f>'13.Facility 2 Grain Processing'!A163</f>
        <v>packaging Exp</v>
      </c>
      <c r="O12" s="243">
        <f>'13.Facility 2 Grain Processing'!C163*2</f>
        <v>40</v>
      </c>
      <c r="P12" s="243">
        <f>O12</f>
        <v>40</v>
      </c>
      <c r="Q12" s="243">
        <f t="shared" si="6"/>
        <v>40</v>
      </c>
      <c r="R12" s="243">
        <f t="shared" si="6"/>
        <v>40</v>
      </c>
      <c r="S12" s="241"/>
      <c r="T12" s="241"/>
      <c r="U12" s="243" t="str">
        <f>'17.Facility 6 Horti Processing '!A168</f>
        <v>packaging Exp</v>
      </c>
      <c r="V12" s="10">
        <f>'17.Facility 6 Horti Processing '!C168*100</f>
        <v>0</v>
      </c>
    </row>
    <row r="13" spans="3:22">
      <c r="C13" s="96" t="s">
        <v>345</v>
      </c>
      <c r="D13" s="94"/>
      <c r="E13" s="94"/>
      <c r="F13" s="95"/>
      <c r="G13" s="95"/>
      <c r="H13" s="95"/>
      <c r="I13" s="95"/>
      <c r="J13" s="95"/>
      <c r="K13" s="95"/>
      <c r="L13" s="93"/>
      <c r="M13" s="93"/>
      <c r="N13" s="243"/>
      <c r="O13" s="10"/>
      <c r="P13" s="10"/>
      <c r="Q13" s="10"/>
      <c r="R13" s="10"/>
      <c r="S13" s="241"/>
      <c r="T13" s="241"/>
      <c r="U13" s="10"/>
      <c r="V13" s="10"/>
    </row>
    <row r="14" spans="3:22">
      <c r="C14" s="94" t="str">
        <f>C5</f>
        <v>Agri Input</v>
      </c>
      <c r="D14" s="266">
        <v>0</v>
      </c>
      <c r="E14" s="95">
        <f>SUM('16.Facility 5 Agri Input'!D197:D252)*$D$14</f>
        <v>0</v>
      </c>
      <c r="F14" s="95">
        <f>SUM('16.Facility 5 Agri Input'!E197:E252)*$D$14</f>
        <v>0</v>
      </c>
      <c r="G14" s="95">
        <f>SUM('16.Facility 5 Agri Input'!F197:F252)*$D$14</f>
        <v>0</v>
      </c>
      <c r="H14" s="95">
        <f>SUM('16.Facility 5 Agri Input'!G197:G252)*$D$14</f>
        <v>0</v>
      </c>
      <c r="I14" s="95">
        <f>SUM('16.Facility 5 Agri Input'!H197:H252)*$D$14</f>
        <v>0</v>
      </c>
      <c r="J14" s="95">
        <f>SUM('16.Facility 5 Agri Input'!I197:I252)*$D$14</f>
        <v>0</v>
      </c>
      <c r="K14" s="95">
        <f>SUM('16.Facility 5 Agri Input'!J197:J252)*$D$14</f>
        <v>0</v>
      </c>
      <c r="L14" s="93"/>
      <c r="M14" s="93"/>
      <c r="N14" s="10"/>
      <c r="O14" s="10"/>
      <c r="P14" s="10"/>
      <c r="Q14" s="10"/>
      <c r="R14" s="10"/>
      <c r="U14" s="10"/>
      <c r="V14" s="10"/>
    </row>
    <row r="15" spans="3:22">
      <c r="C15" s="94" t="str">
        <f>C6</f>
        <v>Trading</v>
      </c>
      <c r="D15" s="266">
        <v>0.4</v>
      </c>
      <c r="E15" s="95">
        <f>SUM('12.Facility 1 - Trading'!D233:D284)*$D$15</f>
        <v>5289011.1146250004</v>
      </c>
      <c r="F15" s="95">
        <f>SUM('12.Facility 1 - Trading'!E233:E284)*$D$15</f>
        <v>6479038.6154156253</v>
      </c>
      <c r="G15" s="95">
        <f>SUM('12.Facility 1 - Trading'!F233:F284)*$D$15</f>
        <v>7774846.3384987488</v>
      </c>
      <c r="H15" s="95">
        <f>SUM('12.Facility 1 - Trading'!G233:G284)*$D$15</f>
        <v>9184037.2373516485</v>
      </c>
      <c r="I15" s="95">
        <f>SUM('12.Facility 1 - Trading'!H233:H284)*$D$15</f>
        <v>10714710.110243591</v>
      </c>
      <c r="J15" s="95">
        <f>SUM('12.Facility 1 - Trading'!I233:I284)*$D$15</f>
        <v>12375490.177331345</v>
      </c>
      <c r="K15" s="95">
        <f>SUM('12.Facility 1 - Trading'!J233:J284)*$D$15</f>
        <v>14175561.47585227</v>
      </c>
      <c r="L15" s="93"/>
      <c r="M15" s="93"/>
      <c r="N15" s="242" t="s">
        <v>368</v>
      </c>
      <c r="O15" s="246">
        <f>SUM(O7:O12)</f>
        <v>101.875</v>
      </c>
      <c r="P15" s="246">
        <f>SUM(P7:P12)</f>
        <v>101.875</v>
      </c>
      <c r="Q15" s="246">
        <f>SUM(Q7:Q12)</f>
        <v>116.875</v>
      </c>
      <c r="R15" s="246">
        <f>SUM(R7:R12)</f>
        <v>111.875</v>
      </c>
      <c r="U15" s="242" t="s">
        <v>1</v>
      </c>
      <c r="V15" s="246">
        <f>SUM(V7:V14)</f>
        <v>0</v>
      </c>
    </row>
    <row r="16" spans="3:22">
      <c r="C16" s="94" t="str">
        <f>C7</f>
        <v>Grain Processing-Cleaning, Grading &amp; Sorting</v>
      </c>
      <c r="D16" s="266">
        <v>0.4</v>
      </c>
      <c r="E16" s="95">
        <f>SUM('13.Facility 2 Grain Processing'!D155:D163)*$D$16</f>
        <v>21932.14575</v>
      </c>
      <c r="F16" s="95">
        <f>SUM('13.Facility 2 Grain Processing'!E155:E163)*$D$16</f>
        <v>34543.129556250009</v>
      </c>
      <c r="G16" s="95">
        <f>SUM('13.Facility 2 Grain Processing'!F155:F163)*$D$16</f>
        <v>48360.381378749997</v>
      </c>
      <c r="H16" s="95">
        <f>SUM('13.Facility 2 Grain Processing'!G155:G163)*$D$16</f>
        <v>63473.000559609383</v>
      </c>
      <c r="I16" s="95">
        <f>SUM('13.Facility 2 Grain Processing'!H155:H163)*$D$16</f>
        <v>79975.980705107824</v>
      </c>
      <c r="J16" s="95">
        <f>SUM('13.Facility 2 Grain Processing'!I155:I163)*$D$16</f>
        <v>97970.576363757122</v>
      </c>
      <c r="K16" s="95">
        <f>SUM('13.Facility 2 Grain Processing'!J155:J163)*$D$16</f>
        <v>117564.69163650851</v>
      </c>
      <c r="L16" s="93"/>
      <c r="M16" s="93"/>
    </row>
    <row r="17" spans="1:18">
      <c r="C17" s="94" t="s">
        <v>519</v>
      </c>
      <c r="D17" s="266">
        <v>0</v>
      </c>
      <c r="E17" s="95">
        <f>SUM('17.Facility 6 Horti Processing '!D163:D168)*$D$17</f>
        <v>0</v>
      </c>
      <c r="F17" s="95">
        <f>SUM('17.Facility 6 Horti Processing '!E163:E168)*$D$17</f>
        <v>0</v>
      </c>
      <c r="G17" s="95">
        <f>SUM('17.Facility 6 Horti Processing '!F163:F168)*$D$17</f>
        <v>0</v>
      </c>
      <c r="H17" s="95">
        <f>SUM('17.Facility 6 Horti Processing '!G163:G168)*$D$17</f>
        <v>0</v>
      </c>
      <c r="I17" s="95">
        <f>SUM('17.Facility 6 Horti Processing '!H163:H168)*$D$17</f>
        <v>0</v>
      </c>
      <c r="J17" s="95">
        <f>SUM('17.Facility 6 Horti Processing '!I163:I168)*$D$17</f>
        <v>0</v>
      </c>
      <c r="K17" s="95">
        <f>SUM('17.Facility 6 Horti Processing '!J163:J168)*$D$17</f>
        <v>0</v>
      </c>
      <c r="L17" s="93"/>
      <c r="M17" s="93"/>
    </row>
    <row r="18" spans="1:18">
      <c r="C18" s="94"/>
      <c r="D18" s="239"/>
      <c r="E18" s="95"/>
      <c r="F18" s="95"/>
      <c r="G18" s="95"/>
      <c r="H18" s="95"/>
      <c r="I18" s="95"/>
      <c r="J18" s="95"/>
      <c r="K18" s="95"/>
      <c r="L18" s="93"/>
      <c r="M18" s="93"/>
    </row>
    <row r="19" spans="1:18">
      <c r="C19" s="94"/>
      <c r="D19" s="94"/>
      <c r="E19" s="94"/>
      <c r="F19" s="95"/>
      <c r="G19" s="95"/>
      <c r="H19" s="95"/>
      <c r="I19" s="95"/>
      <c r="J19" s="95"/>
      <c r="K19" s="95"/>
      <c r="L19" s="93"/>
      <c r="M19" s="93"/>
    </row>
    <row r="20" spans="1:18">
      <c r="C20" s="94" t="s">
        <v>1</v>
      </c>
      <c r="D20" s="94"/>
      <c r="E20" s="202">
        <f t="shared" ref="E20:K20" si="7">SUM(E14:E19)</f>
        <v>5310943.2603750005</v>
      </c>
      <c r="F20" s="95">
        <f t="shared" si="7"/>
        <v>6513581.7449718751</v>
      </c>
      <c r="G20" s="95">
        <f t="shared" si="7"/>
        <v>7823206.7198774992</v>
      </c>
      <c r="H20" s="95">
        <f t="shared" si="7"/>
        <v>9247510.2379112579</v>
      </c>
      <c r="I20" s="95">
        <f t="shared" si="7"/>
        <v>10794686.090948699</v>
      </c>
      <c r="J20" s="95">
        <f t="shared" si="7"/>
        <v>12473460.753695102</v>
      </c>
      <c r="K20" s="95">
        <f t="shared" si="7"/>
        <v>14293126.167488778</v>
      </c>
      <c r="L20" s="93"/>
      <c r="M20" s="93"/>
    </row>
    <row r="21" spans="1:18" ht="41.1" customHeight="1">
      <c r="A21" s="419" t="s">
        <v>419</v>
      </c>
      <c r="B21" s="419"/>
      <c r="C21" s="419"/>
      <c r="D21" s="419"/>
      <c r="E21" s="419"/>
      <c r="F21" s="419"/>
      <c r="G21" s="419"/>
      <c r="H21" s="419"/>
      <c r="I21" s="419"/>
      <c r="J21" s="419"/>
      <c r="K21" s="419"/>
      <c r="L21" s="327"/>
      <c r="M21" s="327"/>
      <c r="N21" s="327"/>
      <c r="O21" s="276"/>
      <c r="P21" s="276"/>
      <c r="Q21" s="276"/>
      <c r="R21" s="276"/>
    </row>
    <row r="22" spans="1:18">
      <c r="A22" t="s">
        <v>536</v>
      </c>
    </row>
    <row r="23" spans="1:18">
      <c r="A23">
        <v>1</v>
      </c>
      <c r="B23" t="s">
        <v>539</v>
      </c>
    </row>
    <row r="24" spans="1:18" ht="18.75">
      <c r="B24" s="412" t="s">
        <v>553</v>
      </c>
      <c r="C24" s="412"/>
      <c r="D24" s="412"/>
      <c r="E24" s="412"/>
      <c r="F24" s="412"/>
      <c r="G24" s="412"/>
      <c r="H24" s="412"/>
      <c r="I24" s="412"/>
      <c r="J24" s="412"/>
      <c r="K24" s="412"/>
    </row>
    <row r="25" spans="1:18">
      <c r="B25" s="439" t="s">
        <v>144</v>
      </c>
      <c r="C25" s="439" t="s">
        <v>0</v>
      </c>
      <c r="D25" s="442" t="s">
        <v>364</v>
      </c>
      <c r="E25" s="444" t="s">
        <v>156</v>
      </c>
      <c r="F25" s="445"/>
      <c r="G25" s="445"/>
      <c r="H25" s="445"/>
      <c r="I25" s="445"/>
      <c r="J25" s="445"/>
      <c r="K25" s="445"/>
    </row>
    <row r="26" spans="1:18">
      <c r="B26" s="439"/>
      <c r="C26" s="439"/>
      <c r="D26" s="443"/>
      <c r="E26" s="214" t="s">
        <v>2</v>
      </c>
      <c r="F26" s="214" t="s">
        <v>3</v>
      </c>
      <c r="G26" s="214" t="s">
        <v>4</v>
      </c>
      <c r="H26" s="214" t="s">
        <v>5</v>
      </c>
      <c r="I26" s="214" t="s">
        <v>6</v>
      </c>
      <c r="J26" s="214" t="s">
        <v>167</v>
      </c>
      <c r="K26" s="214" t="s">
        <v>166</v>
      </c>
    </row>
    <row r="27" spans="1:18">
      <c r="B27" s="217"/>
      <c r="C27" s="218"/>
      <c r="D27" s="218"/>
      <c r="E27" s="219"/>
      <c r="F27" s="219"/>
      <c r="G27" s="219"/>
      <c r="H27" s="219"/>
      <c r="I27" s="219"/>
      <c r="J27" s="219"/>
      <c r="K27" s="219"/>
    </row>
    <row r="28" spans="1:18" ht="28.5">
      <c r="B28" s="220" t="s">
        <v>171</v>
      </c>
      <c r="C28" s="221" t="s">
        <v>346</v>
      </c>
      <c r="D28" s="232"/>
      <c r="E28" s="222"/>
      <c r="F28" s="222"/>
      <c r="G28" s="222"/>
      <c r="H28" s="222"/>
      <c r="I28" s="222"/>
      <c r="J28" s="222"/>
      <c r="K28" s="222"/>
    </row>
    <row r="29" spans="1:18">
      <c r="B29" s="262">
        <v>1</v>
      </c>
      <c r="C29" s="223" t="s">
        <v>366</v>
      </c>
      <c r="D29" s="232">
        <v>0</v>
      </c>
      <c r="E29" s="222">
        <f>('16.Facility 5 Agri Input'!D191/365)*$D$29</f>
        <v>0</v>
      </c>
      <c r="F29" s="222">
        <f>('16.Facility 5 Agri Input'!E191/365)*$D$29</f>
        <v>0</v>
      </c>
      <c r="G29" s="222">
        <f>('16.Facility 5 Agri Input'!F191/365)*$D$29</f>
        <v>0</v>
      </c>
      <c r="H29" s="222">
        <f>('16.Facility 5 Agri Input'!G191/365)*$D$29</f>
        <v>0</v>
      </c>
      <c r="I29" s="222">
        <f>('16.Facility 5 Agri Input'!H191/365)*$D$29</f>
        <v>0</v>
      </c>
      <c r="J29" s="222">
        <f>('16.Facility 5 Agri Input'!I191/365)*$D$29</f>
        <v>0</v>
      </c>
      <c r="K29" s="222">
        <f>('16.Facility 5 Agri Input'!J191/365)*$D$29</f>
        <v>0</v>
      </c>
    </row>
    <row r="30" spans="1:18">
      <c r="B30" s="262">
        <v>2</v>
      </c>
      <c r="C30" s="223" t="s">
        <v>362</v>
      </c>
      <c r="D30" s="232">
        <v>0</v>
      </c>
      <c r="E30" s="222">
        <f>('15. Facility 4 Custom Hiring'!E39/365)*$D$30</f>
        <v>0</v>
      </c>
      <c r="F30" s="222">
        <f>('15. Facility 4 Custom Hiring'!F39/365)*$D$30</f>
        <v>0</v>
      </c>
      <c r="G30" s="222">
        <f>('15. Facility 4 Custom Hiring'!G39/365)*$D$30</f>
        <v>0</v>
      </c>
      <c r="H30" s="222">
        <f>('15. Facility 4 Custom Hiring'!H39/365)*$D$30</f>
        <v>0</v>
      </c>
      <c r="I30" s="222">
        <f>('15. Facility 4 Custom Hiring'!I39/365)*$D$30</f>
        <v>0</v>
      </c>
      <c r="J30" s="222">
        <f>('15. Facility 4 Custom Hiring'!J39/365)*$D$30</f>
        <v>0</v>
      </c>
      <c r="K30" s="222">
        <f>('15. Facility 4 Custom Hiring'!K39/365)*$D$30</f>
        <v>0</v>
      </c>
    </row>
    <row r="31" spans="1:18">
      <c r="B31" s="262">
        <v>3</v>
      </c>
      <c r="C31" s="223" t="s">
        <v>690</v>
      </c>
      <c r="D31" s="232">
        <v>30</v>
      </c>
      <c r="E31" s="222">
        <f>('12.Facility 1 - Trading'!D229/365)*$D$31</f>
        <v>797220.62630136963</v>
      </c>
      <c r="F31" s="222">
        <f>('12.Facility 1 - Trading'!E229/365)*$D$31</f>
        <v>1531667.7775479448</v>
      </c>
      <c r="G31" s="222">
        <f>('12.Facility 1 - Trading'!F229/365)*$D$31</f>
        <v>1851878.1458157531</v>
      </c>
      <c r="H31" s="222">
        <f>('12.Facility 1 - Trading'!G229/365)*$D$31</f>
        <v>2200280.3814664721</v>
      </c>
      <c r="I31" s="222">
        <f>('12.Facility 1 - Trading'!H229/365)*$D$31</f>
        <v>2578893.145317724</v>
      </c>
      <c r="J31" s="222">
        <f>('12.Facility 1 - Trading'!I229/365)*$D$31</f>
        <v>2989866.484600435</v>
      </c>
      <c r="K31" s="222">
        <f>('12.Facility 1 - Trading'!J229/365)*$D$31</f>
        <v>3435489.9249481233</v>
      </c>
    </row>
    <row r="32" spans="1:18">
      <c r="B32" s="262">
        <v>4</v>
      </c>
      <c r="C32" s="223" t="s">
        <v>691</v>
      </c>
      <c r="D32" s="232">
        <v>30</v>
      </c>
      <c r="E32" s="222">
        <f>('13.Facility 2 Grain Processing'!D151/365)*$D$32</f>
        <v>38588.143068493147</v>
      </c>
      <c r="F32" s="222">
        <f>('13.Facility 2 Grain Processing'!E151/365)*$D$32</f>
        <v>62527.83027534248</v>
      </c>
      <c r="G32" s="222">
        <f>('13.Facility 2 Grain Processing'!F151/365)*$D$32</f>
        <v>87845.475750410958</v>
      </c>
      <c r="H32" s="222">
        <f>('13.Facility 2 Grain Processing'!G151/365)*$D$32</f>
        <v>115538.56619729794</v>
      </c>
      <c r="I32" s="222">
        <f>('13.Facility 2 Grain Processing'!H151/365)*$D$32</f>
        <v>145781.35199949765</v>
      </c>
      <c r="J32" s="222">
        <f>('13.Facility 2 Grain Processing'!I151/365)*$D$32</f>
        <v>178759.56996642405</v>
      </c>
      <c r="K32" s="222">
        <f>('13.Facility 2 Grain Processing'!J151/365)*$D$32</f>
        <v>214671.15635004433</v>
      </c>
    </row>
    <row r="33" spans="2:11">
      <c r="B33" s="262">
        <v>5</v>
      </c>
      <c r="C33" s="223" t="s">
        <v>300</v>
      </c>
      <c r="D33" s="232">
        <v>30</v>
      </c>
      <c r="E33" s="222">
        <f>('14. Facility 3 Warehouse'!D23/365)*$D$33</f>
        <v>0</v>
      </c>
      <c r="F33" s="222">
        <f>('14. Facility 3 Warehouse'!E23/365)*$D$33</f>
        <v>0</v>
      </c>
      <c r="G33" s="222">
        <f>('14. Facility 3 Warehouse'!F23/365)*$D$33</f>
        <v>0</v>
      </c>
      <c r="H33" s="222">
        <f>('14. Facility 3 Warehouse'!G23/365)*$D$33</f>
        <v>0</v>
      </c>
      <c r="I33" s="222">
        <f>('14. Facility 3 Warehouse'!H23/365)*$D$33</f>
        <v>0</v>
      </c>
      <c r="J33" s="222">
        <f>('14. Facility 3 Warehouse'!I23/365)*$D$33</f>
        <v>0</v>
      </c>
      <c r="K33" s="222">
        <f>('14. Facility 3 Warehouse'!J23/365)*$D$33</f>
        <v>0</v>
      </c>
    </row>
    <row r="34" spans="2:11" ht="30">
      <c r="B34" s="262">
        <v>6</v>
      </c>
      <c r="C34" s="223" t="s">
        <v>531</v>
      </c>
      <c r="D34" s="232">
        <v>0</v>
      </c>
      <c r="E34" s="222">
        <f>('17.Facility 6 Horti Processing '!D159/365)*$D$34</f>
        <v>0</v>
      </c>
      <c r="F34" s="222">
        <f>('17.Facility 6 Horti Processing '!E159/365)*$D$34</f>
        <v>0</v>
      </c>
      <c r="G34" s="222">
        <f>('17.Facility 6 Horti Processing '!F159/365)*$D$34</f>
        <v>0</v>
      </c>
      <c r="H34" s="222">
        <f>('17.Facility 6 Horti Processing '!G159/365)*$D$34</f>
        <v>0</v>
      </c>
      <c r="I34" s="222">
        <f>('17.Facility 6 Horti Processing '!H159/365)*$D$34</f>
        <v>0</v>
      </c>
      <c r="J34" s="222">
        <f>('17.Facility 6 Horti Processing '!I159/365)*$D$34</f>
        <v>0</v>
      </c>
      <c r="K34" s="222">
        <f>('17.Facility 6 Horti Processing '!J159/365)*$D$34</f>
        <v>0</v>
      </c>
    </row>
    <row r="35" spans="2:11">
      <c r="B35" s="262"/>
      <c r="C35" s="223"/>
      <c r="D35" s="232"/>
      <c r="E35" s="222"/>
      <c r="F35" s="222"/>
      <c r="G35" s="222"/>
      <c r="H35" s="222"/>
      <c r="I35" s="222"/>
      <c r="J35" s="222"/>
      <c r="K35" s="222"/>
    </row>
    <row r="36" spans="2:11">
      <c r="B36" s="252"/>
      <c r="C36" s="221" t="s">
        <v>169</v>
      </c>
      <c r="D36" s="232"/>
      <c r="E36" s="222">
        <f>SUM(E29:E35)</f>
        <v>835808.76936986274</v>
      </c>
      <c r="F36" s="222">
        <f t="shared" ref="F36:K36" si="8">SUM(F29:F35)</f>
        <v>1594195.6078232874</v>
      </c>
      <c r="G36" s="222">
        <f t="shared" si="8"/>
        <v>1939723.6215661641</v>
      </c>
      <c r="H36" s="222">
        <f t="shared" si="8"/>
        <v>2315818.9476637701</v>
      </c>
      <c r="I36" s="222">
        <f t="shared" si="8"/>
        <v>2724674.4973172215</v>
      </c>
      <c r="J36" s="222">
        <f t="shared" si="8"/>
        <v>3168626.0545668593</v>
      </c>
      <c r="K36" s="222">
        <f t="shared" si="8"/>
        <v>3650161.0812981678</v>
      </c>
    </row>
    <row r="37" spans="2:11">
      <c r="B37" s="220" t="s">
        <v>172</v>
      </c>
      <c r="C37" s="221" t="s">
        <v>345</v>
      </c>
      <c r="D37" s="232"/>
      <c r="E37" s="222">
        <f>'5.Closing Stock &amp; W Capital'!E20</f>
        <v>5310943.2603750005</v>
      </c>
      <c r="F37" s="222">
        <f>'5.Closing Stock &amp; W Capital'!F20</f>
        <v>6513581.7449718751</v>
      </c>
      <c r="G37" s="222">
        <f>'5.Closing Stock &amp; W Capital'!G20</f>
        <v>7823206.7198774992</v>
      </c>
      <c r="H37" s="222">
        <f>'5.Closing Stock &amp; W Capital'!H20</f>
        <v>9247510.2379112579</v>
      </c>
      <c r="I37" s="222">
        <f>'5.Closing Stock &amp; W Capital'!I20</f>
        <v>10794686.090948699</v>
      </c>
      <c r="J37" s="222">
        <f>'5.Closing Stock &amp; W Capital'!J20</f>
        <v>12473460.753695102</v>
      </c>
      <c r="K37" s="222">
        <f>'5.Closing Stock &amp; W Capital'!K20</f>
        <v>14293126.167488778</v>
      </c>
    </row>
    <row r="38" spans="2:11">
      <c r="B38" s="220"/>
      <c r="C38" s="223"/>
      <c r="D38" s="232"/>
      <c r="E38" s="222"/>
      <c r="F38" s="222"/>
      <c r="G38" s="222"/>
      <c r="H38" s="222"/>
      <c r="I38" s="222"/>
      <c r="J38" s="222"/>
      <c r="K38" s="222"/>
    </row>
    <row r="39" spans="2:11">
      <c r="B39" s="440" t="s">
        <v>1</v>
      </c>
      <c r="C39" s="441"/>
      <c r="D39" s="238"/>
      <c r="E39" s="224">
        <f>SUM(E36:E37)</f>
        <v>6146752.0297448635</v>
      </c>
      <c r="F39" s="224">
        <f t="shared" ref="F39:K39" si="9">SUM(F36:F37)</f>
        <v>8107777.3527951622</v>
      </c>
      <c r="G39" s="224">
        <f t="shared" si="9"/>
        <v>9762930.3414436635</v>
      </c>
      <c r="H39" s="224">
        <f t="shared" si="9"/>
        <v>11563329.185575027</v>
      </c>
      <c r="I39" s="224">
        <f t="shared" si="9"/>
        <v>13519360.58826592</v>
      </c>
      <c r="J39" s="224">
        <f t="shared" si="9"/>
        <v>15642086.808261961</v>
      </c>
      <c r="K39" s="224">
        <f t="shared" si="9"/>
        <v>17943287.248786945</v>
      </c>
    </row>
    <row r="40" spans="2:11">
      <c r="B40" s="220"/>
      <c r="C40" s="221"/>
      <c r="D40" s="232"/>
      <c r="E40" s="222"/>
      <c r="F40" s="222"/>
      <c r="G40" s="222"/>
      <c r="H40" s="222"/>
      <c r="I40" s="222"/>
      <c r="J40" s="222"/>
      <c r="K40" s="222"/>
    </row>
    <row r="41" spans="2:11" ht="34.5" customHeight="1">
      <c r="B41" s="220" t="s">
        <v>173</v>
      </c>
      <c r="C41" s="223" t="s">
        <v>347</v>
      </c>
      <c r="D41" s="232"/>
      <c r="E41" s="222"/>
      <c r="F41" s="222"/>
      <c r="G41" s="222"/>
      <c r="H41" s="222"/>
      <c r="I41" s="222"/>
      <c r="J41" s="222"/>
      <c r="K41" s="222"/>
    </row>
    <row r="42" spans="2:11">
      <c r="B42" s="262">
        <v>1</v>
      </c>
      <c r="C42" s="223" t="str">
        <f t="shared" ref="C42:C47" si="10">C29</f>
        <v>Agri Input</v>
      </c>
      <c r="D42" s="232">
        <v>0</v>
      </c>
      <c r="E42" s="222">
        <f>('16.Facility 5 Agri Input'!D262/365)*$D$42</f>
        <v>0</v>
      </c>
      <c r="F42" s="222">
        <f>('16.Facility 5 Agri Input'!E262/365)*$D$42</f>
        <v>0</v>
      </c>
      <c r="G42" s="222">
        <f>('16.Facility 5 Agri Input'!F262/365)*$D$42</f>
        <v>0</v>
      </c>
      <c r="H42" s="222">
        <f>('16.Facility 5 Agri Input'!G262/365)*$D$42</f>
        <v>0</v>
      </c>
      <c r="I42" s="222">
        <f>('16.Facility 5 Agri Input'!H262/365)*$D$42</f>
        <v>0</v>
      </c>
      <c r="J42" s="222">
        <f>('16.Facility 5 Agri Input'!I262/365)*$D$42</f>
        <v>0</v>
      </c>
      <c r="K42" s="222">
        <f>('16.Facility 5 Agri Input'!J262/365)*$D$42</f>
        <v>0</v>
      </c>
    </row>
    <row r="43" spans="2:11">
      <c r="B43" s="262">
        <v>2</v>
      </c>
      <c r="C43" s="223" t="str">
        <f t="shared" si="10"/>
        <v>Custom Hiring</v>
      </c>
      <c r="D43" s="232">
        <v>0</v>
      </c>
      <c r="E43" s="222">
        <f>('15. Facility 4 Custom Hiring'!E49/365)*$D$44</f>
        <v>0</v>
      </c>
      <c r="F43" s="222">
        <f>('15. Facility 4 Custom Hiring'!F49/365)*$D$44</f>
        <v>0</v>
      </c>
      <c r="G43" s="222">
        <f>('15. Facility 4 Custom Hiring'!G49/365)*$D$44</f>
        <v>0</v>
      </c>
      <c r="H43" s="222">
        <f>('15. Facility 4 Custom Hiring'!H49/365)*$D$44</f>
        <v>0</v>
      </c>
      <c r="I43" s="222">
        <f>('15. Facility 4 Custom Hiring'!I49/365)*$D$44</f>
        <v>0</v>
      </c>
      <c r="J43" s="222">
        <f>('15. Facility 4 Custom Hiring'!J49/365)*$D$44</f>
        <v>0</v>
      </c>
      <c r="K43" s="222">
        <f>('15. Facility 4 Custom Hiring'!K49/365)*$D$44</f>
        <v>0</v>
      </c>
    </row>
    <row r="44" spans="2:11">
      <c r="B44" s="262">
        <v>3</v>
      </c>
      <c r="C44" s="223" t="str">
        <f t="shared" si="10"/>
        <v>Trading Activity</v>
      </c>
      <c r="D44" s="232">
        <v>10</v>
      </c>
      <c r="E44" s="222">
        <f>('12.Facility 1 - Trading'!D292/365)*$D$44</f>
        <v>219835.88135445205</v>
      </c>
      <c r="F44" s="222">
        <f>('12.Facility 1 - Trading'!E292/365)*$D$44</f>
        <v>414203.36875851883</v>
      </c>
      <c r="G44" s="222">
        <f>('12.Facility 1 - Trading'!F292/365)*$D$44</f>
        <v>500666.65286270541</v>
      </c>
      <c r="H44" s="222">
        <f>('12.Facility 1 - Trading'!G292/365)*$D$44</f>
        <v>594740.75695541443</v>
      </c>
      <c r="I44" s="222">
        <f>('12.Facility 1 - Trading'!H292/365)*$D$44</f>
        <v>696970.60482523777</v>
      </c>
      <c r="J44" s="222">
        <f>('12.Facility 1 - Trading'!I292/365)*$D$44</f>
        <v>807936.58558965451</v>
      </c>
      <c r="K44" s="222">
        <f>('12.Facility 1 - Trading'!J292/365)*$D$44</f>
        <v>928256.73791844992</v>
      </c>
    </row>
    <row r="45" spans="2:11">
      <c r="B45" s="262">
        <v>4</v>
      </c>
      <c r="C45" s="223" t="str">
        <f t="shared" si="10"/>
        <v>Cleaning, Grading &amp; Sorting</v>
      </c>
      <c r="D45" s="232">
        <v>10</v>
      </c>
      <c r="E45" s="222">
        <f>('13.Facility 2 Grain Processing'!D172/365)*$D$45</f>
        <v>1284.8739349315067</v>
      </c>
      <c r="F45" s="222">
        <f>('13.Facility 2 Grain Processing'!E172/365)*$D$45</f>
        <v>2624.557152996576</v>
      </c>
      <c r="G45" s="222">
        <f>('13.Facility 2 Grain Processing'!F172/365)*$D$45</f>
        <v>3779.5341376541096</v>
      </c>
      <c r="H45" s="222">
        <f>('13.Facility 2 Grain Processing'!G172/365)*$D$45</f>
        <v>5043.4474278949065</v>
      </c>
      <c r="I45" s="222">
        <f>('13.Facility 2 Grain Processing'!H172/365)*$D$45</f>
        <v>6424.3032118156461</v>
      </c>
      <c r="J45" s="222">
        <f>('13.Facility 2 Grain Processing'!I172/365)*$D$45</f>
        <v>7930.6359555587269</v>
      </c>
      <c r="K45" s="222">
        <f>('13.Facility 2 Grain Processing'!J172/365)*$D$45</f>
        <v>9571.5412156465718</v>
      </c>
    </row>
    <row r="46" spans="2:11">
      <c r="B46" s="262">
        <v>5</v>
      </c>
      <c r="C46" s="223" t="str">
        <f t="shared" si="10"/>
        <v>Warehouse</v>
      </c>
      <c r="D46" s="232">
        <v>10</v>
      </c>
      <c r="E46" s="222">
        <f>('14. Facility 3 Warehouse'!D34/365)*$D$46</f>
        <v>0</v>
      </c>
      <c r="F46" s="222">
        <f>('14. Facility 3 Warehouse'!E34/365)*$D$46</f>
        <v>0</v>
      </c>
      <c r="G46" s="222">
        <f>('14. Facility 3 Warehouse'!F34/365)*$D$46</f>
        <v>0</v>
      </c>
      <c r="H46" s="222">
        <f>('14. Facility 3 Warehouse'!G34/365)*$D$46</f>
        <v>0</v>
      </c>
      <c r="I46" s="222">
        <f>('14. Facility 3 Warehouse'!H34/365)*$D$46</f>
        <v>0</v>
      </c>
      <c r="J46" s="222">
        <f>('14. Facility 3 Warehouse'!I34/365)*$D$46</f>
        <v>0</v>
      </c>
      <c r="K46" s="222">
        <f>('14. Facility 3 Warehouse'!J34/365)*$D$46</f>
        <v>0</v>
      </c>
    </row>
    <row r="47" spans="2:11" ht="30">
      <c r="B47" s="262"/>
      <c r="C47" s="223" t="str">
        <f t="shared" si="10"/>
        <v>Processing Unit - Horti Commodity</v>
      </c>
      <c r="D47" s="232">
        <v>0</v>
      </c>
      <c r="E47" s="222">
        <f>('17.Facility 6 Horti Processing '!D177/365)*$D$47</f>
        <v>0</v>
      </c>
      <c r="F47" s="222">
        <f>('17.Facility 6 Horti Processing '!E177/365)*$D$47</f>
        <v>0</v>
      </c>
      <c r="G47" s="222">
        <f>('17.Facility 6 Horti Processing '!F177/365)*$D$47</f>
        <v>0</v>
      </c>
      <c r="H47" s="222">
        <f>('17.Facility 6 Horti Processing '!G177/365)*$D$47</f>
        <v>0</v>
      </c>
      <c r="I47" s="222">
        <f>('17.Facility 6 Horti Processing '!H177/365)*$D$47</f>
        <v>0</v>
      </c>
      <c r="J47" s="222">
        <f>('17.Facility 6 Horti Processing '!I177/365)*$D$47</f>
        <v>0</v>
      </c>
      <c r="K47" s="222">
        <f>('17.Facility 6 Horti Processing '!J177/365)*$D$47</f>
        <v>0</v>
      </c>
    </row>
    <row r="48" spans="2:11">
      <c r="B48" s="262"/>
      <c r="C48" s="223"/>
      <c r="D48" s="232"/>
      <c r="E48" s="222"/>
      <c r="F48" s="222"/>
      <c r="G48" s="222"/>
      <c r="H48" s="222"/>
      <c r="I48" s="222"/>
      <c r="J48" s="222"/>
      <c r="K48" s="222"/>
    </row>
    <row r="49" spans="1:12">
      <c r="B49" s="215"/>
      <c r="C49" s="221" t="s">
        <v>1</v>
      </c>
      <c r="D49" s="232"/>
      <c r="E49" s="224">
        <f>SUM(E42:E48)</f>
        <v>221120.75528938355</v>
      </c>
      <c r="F49" s="224">
        <f t="shared" ref="F49:K49" si="11">SUM(F42:F48)</f>
        <v>416827.92591151543</v>
      </c>
      <c r="G49" s="224">
        <f t="shared" si="11"/>
        <v>504446.18700035952</v>
      </c>
      <c r="H49" s="224">
        <f t="shared" si="11"/>
        <v>599784.20438330935</v>
      </c>
      <c r="I49" s="224">
        <f t="shared" si="11"/>
        <v>703394.90803705342</v>
      </c>
      <c r="J49" s="224">
        <f t="shared" si="11"/>
        <v>815867.22154521325</v>
      </c>
      <c r="K49" s="224">
        <f t="shared" si="11"/>
        <v>937828.27913409646</v>
      </c>
    </row>
    <row r="50" spans="1:12">
      <c r="B50" s="220" t="s">
        <v>174</v>
      </c>
      <c r="C50" s="221" t="s">
        <v>154</v>
      </c>
      <c r="D50" s="232"/>
      <c r="E50" s="224">
        <f>E39-E49</f>
        <v>5925631.2744554803</v>
      </c>
      <c r="F50" s="224">
        <f t="shared" ref="F50:K50" si="12">F39-F49</f>
        <v>7690949.4268836472</v>
      </c>
      <c r="G50" s="224">
        <f t="shared" si="12"/>
        <v>9258484.1544433031</v>
      </c>
      <c r="H50" s="224">
        <f t="shared" si="12"/>
        <v>10963544.981191717</v>
      </c>
      <c r="I50" s="224">
        <f t="shared" si="12"/>
        <v>12815965.680228867</v>
      </c>
      <c r="J50" s="224">
        <f t="shared" si="12"/>
        <v>14826219.586716747</v>
      </c>
      <c r="K50" s="224">
        <f t="shared" si="12"/>
        <v>17005458.96965285</v>
      </c>
    </row>
    <row r="51" spans="1:12">
      <c r="B51" s="220"/>
      <c r="C51" s="221" t="s">
        <v>134</v>
      </c>
      <c r="D51" s="271">
        <v>0.65</v>
      </c>
      <c r="E51" s="224">
        <f>E50*$D$51</f>
        <v>3851660.3283960624</v>
      </c>
      <c r="F51" s="224"/>
      <c r="G51" s="224"/>
      <c r="H51" s="224"/>
      <c r="I51" s="224"/>
      <c r="J51" s="224"/>
      <c r="K51" s="224"/>
    </row>
    <row r="53" spans="1:12">
      <c r="E53" s="29"/>
    </row>
    <row r="54" spans="1:12" ht="36.950000000000003" customHeight="1">
      <c r="A54" s="437" t="s">
        <v>414</v>
      </c>
      <c r="B54" s="438"/>
      <c r="C54" s="438"/>
      <c r="D54" s="438"/>
      <c r="E54" s="438"/>
      <c r="F54" s="438"/>
      <c r="G54" s="438"/>
      <c r="H54" s="438"/>
      <c r="I54" s="438"/>
      <c r="J54" s="438"/>
      <c r="K54" s="438"/>
      <c r="L54" s="438"/>
    </row>
    <row r="55" spans="1:12">
      <c r="A55" t="s">
        <v>540</v>
      </c>
    </row>
    <row r="56" spans="1:12">
      <c r="A56">
        <v>1</v>
      </c>
      <c r="B56" t="s">
        <v>693</v>
      </c>
    </row>
    <row r="57" spans="1:12">
      <c r="A57">
        <v>2</v>
      </c>
      <c r="B57" t="s">
        <v>694</v>
      </c>
    </row>
    <row r="58" spans="1:12">
      <c r="A58">
        <v>3</v>
      </c>
      <c r="B58" t="s">
        <v>541</v>
      </c>
    </row>
  </sheetData>
  <mergeCells count="13">
    <mergeCell ref="A54:L54"/>
    <mergeCell ref="B24:K24"/>
    <mergeCell ref="B25:B26"/>
    <mergeCell ref="C25:C26"/>
    <mergeCell ref="B39:C39"/>
    <mergeCell ref="D25:D26"/>
    <mergeCell ref="E25:K25"/>
    <mergeCell ref="N5:R5"/>
    <mergeCell ref="U4:V4"/>
    <mergeCell ref="U5:V5"/>
    <mergeCell ref="C2:K2"/>
    <mergeCell ref="A21:K21"/>
    <mergeCell ref="N4:R4"/>
  </mergeCells>
  <pageMargins left="0.70866141732283472" right="0.70866141732283472" top="0.74803149606299213" bottom="0.74803149606299213" header="0.31496062992125984" footer="0.31496062992125984"/>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3"/>
  <sheetViews>
    <sheetView view="pageBreakPreview" zoomScale="80" zoomScaleSheetLayoutView="80" workbookViewId="0">
      <selection activeCell="A3" sqref="A3:H13"/>
    </sheetView>
  </sheetViews>
  <sheetFormatPr defaultRowHeight="15"/>
  <cols>
    <col min="1" max="1" width="40.5703125" bestFit="1" customWidth="1"/>
    <col min="2" max="2" width="17.7109375" customWidth="1"/>
    <col min="3" max="3" width="16.5703125" customWidth="1"/>
    <col min="4" max="4" width="16.85546875" customWidth="1"/>
    <col min="5" max="5" width="17" customWidth="1"/>
    <col min="6" max="6" width="17.5703125" customWidth="1"/>
    <col min="7" max="7" width="17.85546875" customWidth="1"/>
    <col min="8" max="8" width="16.85546875" customWidth="1"/>
    <col min="9" max="9" width="8.5703125" customWidth="1"/>
    <col min="10" max="10" width="10.140625" bestFit="1" customWidth="1"/>
    <col min="11" max="11" width="9.5703125" bestFit="1" customWidth="1"/>
  </cols>
  <sheetData>
    <row r="2" spans="1:8" ht="18.75">
      <c r="A2" s="415" t="s">
        <v>708</v>
      </c>
      <c r="B2" s="415"/>
      <c r="C2" s="415"/>
      <c r="D2" s="415"/>
      <c r="E2" s="415"/>
      <c r="F2" s="415"/>
      <c r="G2" s="415"/>
      <c r="H2" s="415"/>
    </row>
    <row r="3" spans="1:8">
      <c r="A3" s="147" t="s">
        <v>0</v>
      </c>
      <c r="B3" s="119" t="s">
        <v>2</v>
      </c>
      <c r="C3" s="119" t="s">
        <v>3</v>
      </c>
      <c r="D3" s="119" t="s">
        <v>4</v>
      </c>
      <c r="E3" s="119" t="s">
        <v>5</v>
      </c>
      <c r="F3" s="119" t="s">
        <v>6</v>
      </c>
      <c r="G3" s="119" t="s">
        <v>167</v>
      </c>
      <c r="H3" s="119" t="s">
        <v>166</v>
      </c>
    </row>
    <row r="4" spans="1:8">
      <c r="A4" s="96" t="s">
        <v>127</v>
      </c>
      <c r="B4" s="94"/>
      <c r="C4" s="94"/>
      <c r="D4" s="94"/>
      <c r="E4" s="94"/>
      <c r="F4" s="94"/>
      <c r="G4" s="94"/>
      <c r="H4" s="94"/>
    </row>
    <row r="5" spans="1:8">
      <c r="A5" s="94"/>
      <c r="B5" s="94"/>
      <c r="C5" s="94"/>
      <c r="D5" s="94"/>
      <c r="E5" s="94"/>
      <c r="F5" s="94"/>
      <c r="G5" s="94"/>
      <c r="H5" s="94"/>
    </row>
    <row r="6" spans="1:8">
      <c r="A6" s="94" t="s">
        <v>695</v>
      </c>
      <c r="B6" s="95">
        <f>'12.Facility 1 - Trading'!D229</f>
        <v>9699517.6199999973</v>
      </c>
      <c r="C6" s="95">
        <f>'12.Facility 1 - Trading'!E229</f>
        <v>18635291.293499995</v>
      </c>
      <c r="D6" s="95">
        <f>'12.Facility 1 - Trading'!F229</f>
        <v>22531184.107424997</v>
      </c>
      <c r="E6" s="95">
        <f>'12.Facility 1 - Trading'!G229</f>
        <v>26770077.974508744</v>
      </c>
      <c r="F6" s="95">
        <f>'12.Facility 1 - Trading'!H229</f>
        <v>31376533.268032309</v>
      </c>
      <c r="G6" s="95">
        <f>'12.Facility 1 - Trading'!I229</f>
        <v>36376708.895971961</v>
      </c>
      <c r="H6" s="95">
        <f>'12.Facility 1 - Trading'!J229</f>
        <v>41798460.753535502</v>
      </c>
    </row>
    <row r="7" spans="1:8">
      <c r="A7" s="94" t="s">
        <v>696</v>
      </c>
      <c r="B7" s="95">
        <f>'13.Facility 2 Grain Processing'!D151</f>
        <v>469489.07400000002</v>
      </c>
      <c r="C7" s="95">
        <f>'13.Facility 2 Grain Processing'!E151</f>
        <v>760755.26835000014</v>
      </c>
      <c r="D7" s="95">
        <f>'13.Facility 2 Grain Processing'!F151</f>
        <v>1068786.62163</v>
      </c>
      <c r="E7" s="95">
        <f>'13.Facility 2 Grain Processing'!G151</f>
        <v>1405719.2220671251</v>
      </c>
      <c r="F7" s="95">
        <f>'13.Facility 2 Grain Processing'!H151</f>
        <v>1773673.1159938881</v>
      </c>
      <c r="G7" s="95">
        <f>'13.Facility 2 Grain Processing'!I151</f>
        <v>2174908.1012581591</v>
      </c>
      <c r="H7" s="95">
        <f>'13.Facility 2 Grain Processing'!J151</f>
        <v>2611832.4022588725</v>
      </c>
    </row>
    <row r="8" spans="1:8">
      <c r="A8" s="94" t="s">
        <v>508</v>
      </c>
      <c r="B8" s="95">
        <f>'14. Facility 3 Warehouse'!D23</f>
        <v>0</v>
      </c>
      <c r="C8" s="95">
        <f>'14. Facility 3 Warehouse'!E23</f>
        <v>0</v>
      </c>
      <c r="D8" s="95">
        <f>'14. Facility 3 Warehouse'!F23</f>
        <v>0</v>
      </c>
      <c r="E8" s="95">
        <f>'14. Facility 3 Warehouse'!G23</f>
        <v>0</v>
      </c>
      <c r="F8" s="95">
        <f>'14. Facility 3 Warehouse'!H23</f>
        <v>0</v>
      </c>
      <c r="G8" s="95">
        <f>'14. Facility 3 Warehouse'!I23</f>
        <v>0</v>
      </c>
      <c r="H8" s="95">
        <f>'14. Facility 3 Warehouse'!J23</f>
        <v>0</v>
      </c>
    </row>
    <row r="9" spans="1:8">
      <c r="A9" s="94" t="s">
        <v>509</v>
      </c>
      <c r="B9" s="95">
        <f>'15. Facility 4 Custom Hiring'!E39</f>
        <v>0</v>
      </c>
      <c r="C9" s="95">
        <f>'15. Facility 4 Custom Hiring'!F39</f>
        <v>0</v>
      </c>
      <c r="D9" s="95">
        <f>'15. Facility 4 Custom Hiring'!G39</f>
        <v>0</v>
      </c>
      <c r="E9" s="95">
        <f>'15. Facility 4 Custom Hiring'!H39</f>
        <v>0</v>
      </c>
      <c r="F9" s="95">
        <f>'15. Facility 4 Custom Hiring'!I39</f>
        <v>0</v>
      </c>
      <c r="G9" s="95">
        <f>'15. Facility 4 Custom Hiring'!J39</f>
        <v>0</v>
      </c>
      <c r="H9" s="95">
        <f>'15. Facility 4 Custom Hiring'!K39</f>
        <v>0</v>
      </c>
    </row>
    <row r="10" spans="1:8">
      <c r="A10" s="94" t="s">
        <v>507</v>
      </c>
      <c r="B10" s="95">
        <f>'16.Facility 5 Agri Input'!D191</f>
        <v>0</v>
      </c>
      <c r="C10" s="95">
        <f>'16.Facility 5 Agri Input'!E191</f>
        <v>0</v>
      </c>
      <c r="D10" s="95">
        <f>'16.Facility 5 Agri Input'!F191</f>
        <v>0</v>
      </c>
      <c r="E10" s="95">
        <f>'16.Facility 5 Agri Input'!G191</f>
        <v>0</v>
      </c>
      <c r="F10" s="95">
        <f>'16.Facility 5 Agri Input'!H191</f>
        <v>0</v>
      </c>
      <c r="G10" s="95">
        <f>'16.Facility 5 Agri Input'!I191</f>
        <v>0</v>
      </c>
      <c r="H10" s="95">
        <f>'16.Facility 5 Agri Input'!J191</f>
        <v>0</v>
      </c>
    </row>
    <row r="11" spans="1:8">
      <c r="A11" s="94" t="s">
        <v>530</v>
      </c>
      <c r="B11" s="95">
        <f>'17.Facility 6 Horti Processing '!D159</f>
        <v>0</v>
      </c>
      <c r="C11" s="95">
        <f>'17.Facility 6 Horti Processing '!E159</f>
        <v>0</v>
      </c>
      <c r="D11" s="95">
        <f>'17.Facility 6 Horti Processing '!F159</f>
        <v>0</v>
      </c>
      <c r="E11" s="95">
        <f>'17.Facility 6 Horti Processing '!G159</f>
        <v>0</v>
      </c>
      <c r="F11" s="95">
        <f>'17.Facility 6 Horti Processing '!H159</f>
        <v>0</v>
      </c>
      <c r="G11" s="95">
        <f>'17.Facility 6 Horti Processing '!I159</f>
        <v>0</v>
      </c>
      <c r="H11" s="95">
        <f>'17.Facility 6 Horti Processing '!J159</f>
        <v>0</v>
      </c>
    </row>
    <row r="12" spans="1:8">
      <c r="A12" s="94"/>
      <c r="B12" s="95"/>
      <c r="C12" s="95"/>
      <c r="D12" s="95"/>
      <c r="E12" s="95"/>
      <c r="F12" s="95"/>
      <c r="G12" s="95"/>
      <c r="H12" s="95"/>
    </row>
    <row r="13" spans="1:8">
      <c r="A13" s="96" t="s">
        <v>142</v>
      </c>
      <c r="B13" s="114">
        <f>SUM(B6:B12)</f>
        <v>10169006.693999998</v>
      </c>
      <c r="C13" s="114">
        <f t="shared" ref="C13:H13" si="0">SUM(C6:C12)</f>
        <v>19396046.561849996</v>
      </c>
      <c r="D13" s="114">
        <f t="shared" si="0"/>
        <v>23599970.729054995</v>
      </c>
      <c r="E13" s="114">
        <f t="shared" si="0"/>
        <v>28175797.196575869</v>
      </c>
      <c r="F13" s="114">
        <f t="shared" si="0"/>
        <v>33150206.384026196</v>
      </c>
      <c r="G13" s="114">
        <f t="shared" si="0"/>
        <v>38551616.99723012</v>
      </c>
      <c r="H13" s="114">
        <f t="shared" si="0"/>
        <v>44410293.155794375</v>
      </c>
    </row>
    <row r="14" spans="1:8">
      <c r="A14" s="94"/>
      <c r="B14" s="95"/>
      <c r="C14" s="95"/>
      <c r="D14" s="95"/>
      <c r="E14" s="95"/>
      <c r="F14" s="95"/>
      <c r="G14" s="95"/>
      <c r="H14" s="95"/>
    </row>
    <row r="15" spans="1:8">
      <c r="A15" s="96" t="s">
        <v>312</v>
      </c>
      <c r="B15" s="95"/>
      <c r="C15" s="95"/>
      <c r="D15" s="95"/>
      <c r="E15" s="95"/>
      <c r="F15" s="95"/>
      <c r="G15" s="95"/>
      <c r="H15" s="95"/>
    </row>
    <row r="16" spans="1:8">
      <c r="A16" s="94" t="str">
        <f t="shared" ref="A16:A21" si="1">A6</f>
        <v>Faclitiy 1 - Trading Activity</v>
      </c>
      <c r="B16" s="95">
        <f>'12.Facility 1 - Trading'!D292</f>
        <v>8024009.6694375006</v>
      </c>
      <c r="C16" s="95">
        <f>'12.Facility 1 - Trading'!E292</f>
        <v>15118422.959685937</v>
      </c>
      <c r="D16" s="95">
        <f>'12.Facility 1 - Trading'!F292</f>
        <v>18274332.829488747</v>
      </c>
      <c r="E16" s="95">
        <f>'12.Facility 1 - Trading'!G292</f>
        <v>21708037.628872629</v>
      </c>
      <c r="F16" s="95">
        <f>'12.Facility 1 - Trading'!H292</f>
        <v>25439427.076121181</v>
      </c>
      <c r="G16" s="95">
        <f>'12.Facility 1 - Trading'!I292</f>
        <v>29489685.374022394</v>
      </c>
      <c r="H16" s="95">
        <f>'12.Facility 1 - Trading'!J292</f>
        <v>33881370.934023425</v>
      </c>
    </row>
    <row r="17" spans="1:8">
      <c r="A17" s="94" t="str">
        <f t="shared" si="1"/>
        <v>Faclitiy 2 - Processing Unit- Cleaning, Grading</v>
      </c>
      <c r="B17" s="95">
        <f>'13.Facility 2 Grain Processing'!D172</f>
        <v>46897.898625000002</v>
      </c>
      <c r="C17" s="95">
        <f>'13.Facility 2 Grain Processing'!E172</f>
        <v>95796.336084375012</v>
      </c>
      <c r="D17" s="95">
        <f>'13.Facility 2 Grain Processing'!F172</f>
        <v>137952.996024375</v>
      </c>
      <c r="E17" s="95">
        <f>'13.Facility 2 Grain Processing'!G172</f>
        <v>184085.83111816409</v>
      </c>
      <c r="F17" s="95">
        <f>'13.Facility 2 Grain Processing'!H172</f>
        <v>234487.0672312711</v>
      </c>
      <c r="G17" s="95">
        <f>'13.Facility 2 Grain Processing'!I172</f>
        <v>289468.21237789351</v>
      </c>
      <c r="H17" s="95">
        <f>'13.Facility 2 Grain Processing'!J172</f>
        <v>349361.25437109987</v>
      </c>
    </row>
    <row r="18" spans="1:8">
      <c r="A18" s="94" t="str">
        <f t="shared" si="1"/>
        <v>Faclitiy 3 - Warehouse</v>
      </c>
      <c r="B18" s="95">
        <f>'14. Facility 3 Warehouse'!D34</f>
        <v>0</v>
      </c>
      <c r="C18" s="95">
        <f>'14. Facility 3 Warehouse'!E34</f>
        <v>0</v>
      </c>
      <c r="D18" s="95">
        <f>'14. Facility 3 Warehouse'!F34</f>
        <v>0</v>
      </c>
      <c r="E18" s="95">
        <f>'14. Facility 3 Warehouse'!G34</f>
        <v>0</v>
      </c>
      <c r="F18" s="95">
        <f>'14. Facility 3 Warehouse'!H34</f>
        <v>0</v>
      </c>
      <c r="G18" s="95">
        <f>'14. Facility 3 Warehouse'!I34</f>
        <v>0</v>
      </c>
      <c r="H18" s="95">
        <f>'14. Facility 3 Warehouse'!J34</f>
        <v>0</v>
      </c>
    </row>
    <row r="19" spans="1:8">
      <c r="A19" s="94" t="str">
        <f t="shared" si="1"/>
        <v xml:space="preserve">Faclitiy 4 - Custom Hiring </v>
      </c>
      <c r="B19" s="95">
        <f>'15. Facility 4 Custom Hiring'!E49</f>
        <v>0</v>
      </c>
      <c r="C19" s="95">
        <f>'15. Facility 4 Custom Hiring'!F49</f>
        <v>0</v>
      </c>
      <c r="D19" s="95">
        <f>'15. Facility 4 Custom Hiring'!G49</f>
        <v>0</v>
      </c>
      <c r="E19" s="95">
        <f>'15. Facility 4 Custom Hiring'!H49</f>
        <v>0</v>
      </c>
      <c r="F19" s="95">
        <f>'15. Facility 4 Custom Hiring'!I49</f>
        <v>0</v>
      </c>
      <c r="G19" s="95">
        <f>'15. Facility 4 Custom Hiring'!J49</f>
        <v>0</v>
      </c>
      <c r="H19" s="95">
        <f>'15. Facility 4 Custom Hiring'!K49</f>
        <v>0</v>
      </c>
    </row>
    <row r="20" spans="1:8">
      <c r="A20" s="94" t="str">
        <f t="shared" si="1"/>
        <v>Faclitiy 5 - Agri Input Centre</v>
      </c>
      <c r="B20" s="95">
        <f>'16.Facility 5 Agri Input'!D262</f>
        <v>0</v>
      </c>
      <c r="C20" s="95">
        <f>'16.Facility 5 Agri Input'!E262</f>
        <v>0</v>
      </c>
      <c r="D20" s="95">
        <f>'16.Facility 5 Agri Input'!F262</f>
        <v>0</v>
      </c>
      <c r="E20" s="95">
        <f>'16.Facility 5 Agri Input'!G262</f>
        <v>0</v>
      </c>
      <c r="F20" s="95">
        <f>'16.Facility 5 Agri Input'!H262</f>
        <v>0</v>
      </c>
      <c r="G20" s="95">
        <f>'16.Facility 5 Agri Input'!I262</f>
        <v>0</v>
      </c>
      <c r="H20" s="95">
        <f>'16.Facility 5 Agri Input'!J262</f>
        <v>0</v>
      </c>
    </row>
    <row r="21" spans="1:8">
      <c r="A21" s="94" t="str">
        <f t="shared" si="1"/>
        <v>Facility 6 - Processing Unit - Horti Commodity</v>
      </c>
      <c r="B21" s="95">
        <f>'17.Facility 6 Horti Processing '!D177</f>
        <v>0</v>
      </c>
      <c r="C21" s="95">
        <f>'17.Facility 6 Horti Processing '!E177</f>
        <v>0</v>
      </c>
      <c r="D21" s="95">
        <f>'17.Facility 6 Horti Processing '!F177</f>
        <v>0</v>
      </c>
      <c r="E21" s="95">
        <f>'17.Facility 6 Horti Processing '!G177</f>
        <v>0</v>
      </c>
      <c r="F21" s="95">
        <f>'17.Facility 6 Horti Processing '!H177</f>
        <v>0</v>
      </c>
      <c r="G21" s="95">
        <f>'17.Facility 6 Horti Processing '!I177</f>
        <v>0</v>
      </c>
      <c r="H21" s="95">
        <f>'17.Facility 6 Horti Processing '!J177</f>
        <v>0</v>
      </c>
    </row>
    <row r="22" spans="1:8">
      <c r="A22" s="94"/>
      <c r="B22" s="95"/>
      <c r="C22" s="95"/>
      <c r="D22" s="95"/>
      <c r="E22" s="95"/>
      <c r="F22" s="95"/>
      <c r="G22" s="95"/>
      <c r="H22" s="95"/>
    </row>
    <row r="23" spans="1:8">
      <c r="A23" s="96" t="s">
        <v>319</v>
      </c>
      <c r="B23" s="114">
        <f>SUM(B16:B22)</f>
        <v>8070907.568062501</v>
      </c>
      <c r="C23" s="114">
        <f t="shared" ref="C23:H23" si="2">SUM(C16:C22)</f>
        <v>15214219.295770312</v>
      </c>
      <c r="D23" s="114">
        <f t="shared" si="2"/>
        <v>18412285.825513121</v>
      </c>
      <c r="E23" s="114">
        <f t="shared" si="2"/>
        <v>21892123.459990792</v>
      </c>
      <c r="F23" s="114">
        <f t="shared" si="2"/>
        <v>25673914.143352453</v>
      </c>
      <c r="G23" s="114">
        <f t="shared" si="2"/>
        <v>29779153.586400289</v>
      </c>
      <c r="H23" s="114">
        <f t="shared" si="2"/>
        <v>34230732.188394524</v>
      </c>
    </row>
    <row r="24" spans="1:8">
      <c r="A24" s="94"/>
      <c r="B24" s="95"/>
      <c r="C24" s="95"/>
      <c r="D24" s="95"/>
      <c r="E24" s="95"/>
      <c r="F24" s="95"/>
      <c r="G24" s="95"/>
      <c r="H24" s="95"/>
    </row>
    <row r="25" spans="1:8">
      <c r="A25" s="96" t="s">
        <v>310</v>
      </c>
      <c r="B25" s="95"/>
      <c r="C25" s="95"/>
      <c r="D25" s="95"/>
      <c r="E25" s="95"/>
      <c r="F25" s="95"/>
      <c r="G25" s="95"/>
      <c r="H25" s="95"/>
    </row>
    <row r="26" spans="1:8">
      <c r="A26" s="94" t="str">
        <f t="shared" ref="A26:A31" si="3">A16</f>
        <v>Faclitiy 1 - Trading Activity</v>
      </c>
      <c r="B26" s="95">
        <f>'12.Facility 1 - Trading'!D301</f>
        <v>1800000</v>
      </c>
      <c r="C26" s="95">
        <f>'12.Facility 1 - Trading'!E301</f>
        <v>1890000</v>
      </c>
      <c r="D26" s="95">
        <f>'12.Facility 1 - Trading'!F301</f>
        <v>1984500</v>
      </c>
      <c r="E26" s="95">
        <f>'12.Facility 1 - Trading'!G301</f>
        <v>2083725.0000000002</v>
      </c>
      <c r="F26" s="95">
        <f>'12.Facility 1 - Trading'!H301</f>
        <v>2187911.2500000005</v>
      </c>
      <c r="G26" s="95">
        <f>'12.Facility 1 - Trading'!I301</f>
        <v>2297306.8125000005</v>
      </c>
      <c r="H26" s="95">
        <f>'12.Facility 1 - Trading'!J301</f>
        <v>2412172.1531250007</v>
      </c>
    </row>
    <row r="27" spans="1:8">
      <c r="A27" s="94" t="str">
        <f t="shared" si="3"/>
        <v>Faclitiy 2 - Processing Unit- Cleaning, Grading</v>
      </c>
      <c r="B27" s="95">
        <f>'13.Facility 2 Grain Processing'!D180</f>
        <v>120000</v>
      </c>
      <c r="C27" s="95">
        <f>'13.Facility 2 Grain Processing'!E180</f>
        <v>126000</v>
      </c>
      <c r="D27" s="95">
        <f>'13.Facility 2 Grain Processing'!F180</f>
        <v>132300</v>
      </c>
      <c r="E27" s="95">
        <f>'13.Facility 2 Grain Processing'!G180</f>
        <v>138915.00000000003</v>
      </c>
      <c r="F27" s="95">
        <f>'13.Facility 2 Grain Processing'!H180</f>
        <v>145860.75000000003</v>
      </c>
      <c r="G27" s="95">
        <f>'13.Facility 2 Grain Processing'!I180</f>
        <v>153153.78750000003</v>
      </c>
      <c r="H27" s="95">
        <f>'13.Facility 2 Grain Processing'!J180</f>
        <v>160811.47687500005</v>
      </c>
    </row>
    <row r="28" spans="1:8">
      <c r="A28" s="94" t="str">
        <f t="shared" si="3"/>
        <v>Faclitiy 3 - Warehouse</v>
      </c>
      <c r="B28" s="95">
        <f>'14. Facility 3 Warehouse'!D43</f>
        <v>0</v>
      </c>
      <c r="C28" s="95">
        <f>'14. Facility 3 Warehouse'!E43</f>
        <v>0</v>
      </c>
      <c r="D28" s="95">
        <f>'14. Facility 3 Warehouse'!F43</f>
        <v>0</v>
      </c>
      <c r="E28" s="95">
        <f>'14. Facility 3 Warehouse'!G43</f>
        <v>0</v>
      </c>
      <c r="F28" s="95">
        <f>'14. Facility 3 Warehouse'!H43</f>
        <v>0</v>
      </c>
      <c r="G28" s="95">
        <f>'14. Facility 3 Warehouse'!I43</f>
        <v>0</v>
      </c>
      <c r="H28" s="95">
        <f>'14. Facility 3 Warehouse'!J43</f>
        <v>0</v>
      </c>
    </row>
    <row r="29" spans="1:8">
      <c r="A29" s="94" t="str">
        <f t="shared" si="3"/>
        <v xml:space="preserve">Faclitiy 4 - Custom Hiring </v>
      </c>
      <c r="B29" s="95">
        <f>'15. Facility 4 Custom Hiring'!E56</f>
        <v>0</v>
      </c>
      <c r="C29" s="95">
        <f>'15. Facility 4 Custom Hiring'!F56</f>
        <v>0</v>
      </c>
      <c r="D29" s="95">
        <f>'15. Facility 4 Custom Hiring'!G56</f>
        <v>0</v>
      </c>
      <c r="E29" s="95">
        <f>'15. Facility 4 Custom Hiring'!H56</f>
        <v>0</v>
      </c>
      <c r="F29" s="95">
        <f>'15. Facility 4 Custom Hiring'!I56</f>
        <v>0</v>
      </c>
      <c r="G29" s="95">
        <f>'15. Facility 4 Custom Hiring'!J56</f>
        <v>0</v>
      </c>
      <c r="H29" s="95">
        <f>'15. Facility 4 Custom Hiring'!K56</f>
        <v>0</v>
      </c>
    </row>
    <row r="30" spans="1:8">
      <c r="A30" s="94" t="str">
        <f t="shared" si="3"/>
        <v>Faclitiy 5 - Agri Input Centre</v>
      </c>
      <c r="B30" s="95">
        <f>'16.Facility 5 Agri Input'!D273</f>
        <v>0</v>
      </c>
      <c r="C30" s="95">
        <f>'16.Facility 5 Agri Input'!E273</f>
        <v>0</v>
      </c>
      <c r="D30" s="95">
        <f>'16.Facility 5 Agri Input'!F273</f>
        <v>0</v>
      </c>
      <c r="E30" s="95">
        <f>'16.Facility 5 Agri Input'!G273</f>
        <v>0</v>
      </c>
      <c r="F30" s="95">
        <f>'16.Facility 5 Agri Input'!H273</f>
        <v>0</v>
      </c>
      <c r="G30" s="95">
        <f>'16.Facility 5 Agri Input'!I273</f>
        <v>0</v>
      </c>
      <c r="H30" s="95">
        <f>'16.Facility 5 Agri Input'!J273</f>
        <v>0</v>
      </c>
    </row>
    <row r="31" spans="1:8">
      <c r="A31" s="94" t="str">
        <f t="shared" si="3"/>
        <v>Facility 6 - Processing Unit - Horti Commodity</v>
      </c>
      <c r="B31" s="95">
        <f>'17.Facility 6 Horti Processing '!D185</f>
        <v>0</v>
      </c>
      <c r="C31" s="95">
        <f>'17.Facility 6 Horti Processing '!E185</f>
        <v>0</v>
      </c>
      <c r="D31" s="95">
        <f>'17.Facility 6 Horti Processing '!F185</f>
        <v>0</v>
      </c>
      <c r="E31" s="95">
        <f>'17.Facility 6 Horti Processing '!G185</f>
        <v>0</v>
      </c>
      <c r="F31" s="95">
        <f>'17.Facility 6 Horti Processing '!H185</f>
        <v>0</v>
      </c>
      <c r="G31" s="95">
        <f>'17.Facility 6 Horti Processing '!I185</f>
        <v>0</v>
      </c>
      <c r="H31" s="95">
        <f>'17.Facility 6 Horti Processing '!J185</f>
        <v>0</v>
      </c>
    </row>
    <row r="32" spans="1:8">
      <c r="A32" s="94"/>
      <c r="B32" s="95"/>
      <c r="C32" s="95"/>
      <c r="D32" s="95"/>
      <c r="E32" s="95"/>
      <c r="F32" s="95"/>
      <c r="G32" s="95"/>
      <c r="H32" s="95"/>
    </row>
    <row r="33" spans="1:10">
      <c r="A33" s="94" t="s">
        <v>9</v>
      </c>
      <c r="B33" s="95">
        <f>'3.Other Exp &amp; Taxes'!E23</f>
        <v>587000</v>
      </c>
      <c r="C33" s="95">
        <f>'3.Other Exp &amp; Taxes'!F23</f>
        <v>616350</v>
      </c>
      <c r="D33" s="95">
        <f>'3.Other Exp &amp; Taxes'!G23</f>
        <v>647167.5</v>
      </c>
      <c r="E33" s="95">
        <f>'3.Other Exp &amp; Taxes'!H23</f>
        <v>679525.87500000012</v>
      </c>
      <c r="F33" s="95">
        <f>'3.Other Exp &amp; Taxes'!I23</f>
        <v>713502.16875000007</v>
      </c>
      <c r="G33" s="95">
        <f>'3.Other Exp &amp; Taxes'!J23</f>
        <v>749177.27718750027</v>
      </c>
      <c r="H33" s="95">
        <f>'3.Other Exp &amp; Taxes'!K23</f>
        <v>786636.14104687516</v>
      </c>
    </row>
    <row r="34" spans="1:10">
      <c r="A34" s="96" t="s">
        <v>323</v>
      </c>
      <c r="B34" s="114">
        <f t="shared" ref="B34:H34" si="4">SUM(B26:B33)</f>
        <v>2507000</v>
      </c>
      <c r="C34" s="114">
        <f t="shared" si="4"/>
        <v>2632350</v>
      </c>
      <c r="D34" s="114">
        <f t="shared" si="4"/>
        <v>2763967.5</v>
      </c>
      <c r="E34" s="114">
        <f t="shared" si="4"/>
        <v>2902165.8750000005</v>
      </c>
      <c r="F34" s="114">
        <f t="shared" si="4"/>
        <v>3047274.1687500007</v>
      </c>
      <c r="G34" s="114">
        <f t="shared" si="4"/>
        <v>3199637.8771875007</v>
      </c>
      <c r="H34" s="114">
        <f t="shared" si="4"/>
        <v>3359619.771046876</v>
      </c>
    </row>
    <row r="35" spans="1:10">
      <c r="A35" s="94"/>
      <c r="B35" s="95"/>
      <c r="C35" s="95"/>
      <c r="D35" s="95"/>
      <c r="E35" s="95"/>
      <c r="F35" s="95"/>
      <c r="G35" s="95"/>
      <c r="H35" s="95"/>
    </row>
    <row r="36" spans="1:10">
      <c r="A36" s="96" t="s">
        <v>328</v>
      </c>
      <c r="B36" s="114">
        <f t="shared" ref="B36:H36" si="5">B23+B34</f>
        <v>10577907.568062501</v>
      </c>
      <c r="C36" s="114">
        <f t="shared" si="5"/>
        <v>17846569.29577031</v>
      </c>
      <c r="D36" s="114">
        <f t="shared" si="5"/>
        <v>21176253.325513121</v>
      </c>
      <c r="E36" s="114">
        <f t="shared" si="5"/>
        <v>24794289.334990792</v>
      </c>
      <c r="F36" s="114">
        <f t="shared" si="5"/>
        <v>28721188.312102452</v>
      </c>
      <c r="G36" s="114">
        <f t="shared" si="5"/>
        <v>32978791.463587791</v>
      </c>
      <c r="H36" s="114">
        <f t="shared" si="5"/>
        <v>37590351.959441401</v>
      </c>
    </row>
    <row r="37" spans="1:10">
      <c r="A37" s="94"/>
      <c r="B37" s="95"/>
      <c r="C37" s="95"/>
      <c r="D37" s="95"/>
      <c r="E37" s="95"/>
      <c r="F37" s="95"/>
      <c r="G37" s="95"/>
      <c r="H37" s="95"/>
    </row>
    <row r="38" spans="1:10">
      <c r="A38" s="96" t="s">
        <v>136</v>
      </c>
      <c r="B38" s="114">
        <f t="shared" ref="B38:H38" si="6">B13-B36</f>
        <v>-408900.87406250276</v>
      </c>
      <c r="C38" s="114">
        <f t="shared" si="6"/>
        <v>1549477.2660796866</v>
      </c>
      <c r="D38" s="114">
        <f t="shared" si="6"/>
        <v>2423717.4035418741</v>
      </c>
      <c r="E38" s="114">
        <f t="shared" si="6"/>
        <v>3381507.8615850769</v>
      </c>
      <c r="F38" s="114">
        <f t="shared" si="6"/>
        <v>4429018.0719237439</v>
      </c>
      <c r="G38" s="114">
        <f t="shared" si="6"/>
        <v>5572825.5336423293</v>
      </c>
      <c r="H38" s="114">
        <f t="shared" si="6"/>
        <v>6819941.1963529736</v>
      </c>
      <c r="J38" s="67">
        <f>B47+B40+B41</f>
        <v>-942207.688763496</v>
      </c>
    </row>
    <row r="39" spans="1:10">
      <c r="A39" s="94"/>
      <c r="B39" s="95"/>
      <c r="C39" s="95"/>
      <c r="D39" s="95"/>
      <c r="E39" s="95"/>
      <c r="F39" s="95"/>
      <c r="G39" s="95"/>
      <c r="H39" s="95"/>
      <c r="J39">
        <f>'5.Closing Stock &amp; W Capital'!E51</f>
        <v>3851660.3283960624</v>
      </c>
    </row>
    <row r="40" spans="1:10">
      <c r="A40" s="98" t="s">
        <v>17</v>
      </c>
      <c r="B40" s="95">
        <f>'3.Other Exp &amp; Taxes'!C66</f>
        <v>81150.027851999999</v>
      </c>
      <c r="C40" s="95">
        <f>'3.Other Exp &amp; Taxes'!D66</f>
        <v>81150.027851999999</v>
      </c>
      <c r="D40" s="95">
        <f>'3.Other Exp &amp; Taxes'!E66</f>
        <v>81150.027851999999</v>
      </c>
      <c r="E40" s="95">
        <f>'3.Other Exp &amp; Taxes'!F66</f>
        <v>81150.027851999999</v>
      </c>
      <c r="F40" s="95">
        <f>'3.Other Exp &amp; Taxes'!G66</f>
        <v>81150.027851999999</v>
      </c>
      <c r="G40" s="95">
        <f>'3.Other Exp &amp; Taxes'!H66</f>
        <v>81150.027851999999</v>
      </c>
      <c r="H40" s="95">
        <f>'3.Other Exp &amp; Taxes'!I66</f>
        <v>81150.027851999999</v>
      </c>
      <c r="J40" s="67">
        <f>J38+J39</f>
        <v>2909452.6396325664</v>
      </c>
    </row>
    <row r="41" spans="1:10">
      <c r="A41" s="98" t="s">
        <v>137</v>
      </c>
      <c r="B41" s="95">
        <f>'3.Other Exp &amp; Taxes'!C86</f>
        <v>11000</v>
      </c>
      <c r="C41" s="95">
        <f>'3.Other Exp &amp; Taxes'!D86</f>
        <v>11000</v>
      </c>
      <c r="D41" s="95">
        <f>'3.Other Exp &amp; Taxes'!E86</f>
        <v>11000</v>
      </c>
      <c r="E41" s="95">
        <f>'3.Other Exp &amp; Taxes'!F86</f>
        <v>11000</v>
      </c>
      <c r="F41" s="95">
        <f>'3.Other Exp &amp; Taxes'!G86</f>
        <v>11000</v>
      </c>
      <c r="G41" s="95">
        <f>'3.Other Exp &amp; Taxes'!H86</f>
        <v>0</v>
      </c>
      <c r="H41" s="95">
        <f>'3.Other Exp &amp; Taxes'!I86</f>
        <v>0</v>
      </c>
    </row>
    <row r="42" spans="1:10">
      <c r="A42" s="94"/>
      <c r="B42" s="95"/>
      <c r="C42" s="95"/>
      <c r="D42" s="95"/>
      <c r="E42" s="95"/>
      <c r="F42" s="95"/>
      <c r="G42" s="95"/>
      <c r="H42" s="95"/>
    </row>
    <row r="43" spans="1:10">
      <c r="A43" s="96" t="s">
        <v>138</v>
      </c>
      <c r="B43" s="114">
        <f>B38-B40-B41</f>
        <v>-501050.90191450273</v>
      </c>
      <c r="C43" s="114">
        <f t="shared" ref="C43:H43" si="7">C38-C40-C41</f>
        <v>1457327.2382276866</v>
      </c>
      <c r="D43" s="114">
        <f t="shared" si="7"/>
        <v>2331567.3756898739</v>
      </c>
      <c r="E43" s="114">
        <f t="shared" si="7"/>
        <v>3289357.8337330767</v>
      </c>
      <c r="F43" s="114">
        <f t="shared" si="7"/>
        <v>4336868.0440717442</v>
      </c>
      <c r="G43" s="114">
        <f t="shared" si="7"/>
        <v>5491675.5057903295</v>
      </c>
      <c r="H43" s="114">
        <f t="shared" si="7"/>
        <v>6738791.1685009738</v>
      </c>
    </row>
    <row r="44" spans="1:10">
      <c r="A44" s="94"/>
      <c r="B44" s="95"/>
      <c r="C44" s="95"/>
      <c r="D44" s="95"/>
      <c r="E44" s="95"/>
      <c r="F44" s="95"/>
      <c r="G44" s="95"/>
      <c r="H44" s="95"/>
    </row>
    <row r="45" spans="1:10">
      <c r="A45" s="94" t="s">
        <v>24</v>
      </c>
      <c r="B45" s="95">
        <f>'8.Cash Flow '!C26+'8.Cash Flow '!C28</f>
        <v>533306.81470099324</v>
      </c>
      <c r="C45" s="95">
        <f>'8.Cash Flow '!D26+'8.Cash Flow '!D28</f>
        <v>922913.93122603768</v>
      </c>
      <c r="D45" s="95">
        <f>'8.Cash Flow '!E26+'8.Cash Flow '!E28</f>
        <v>1111018.0985331964</v>
      </c>
      <c r="E45" s="95">
        <f>'8.Cash Flow '!F26+'8.Cash Flow '!F28</f>
        <v>1315625.397743006</v>
      </c>
      <c r="F45" s="95">
        <f>'8.Cash Flow '!G26+'8.Cash Flow '!G28</f>
        <v>1537915.881627464</v>
      </c>
      <c r="G45" s="95">
        <f>'8.Cash Flow '!H26+'8.Cash Flow '!H28</f>
        <v>1779146.3504060095</v>
      </c>
      <c r="H45" s="95">
        <f>'8.Cash Flow '!I26+'8.Cash Flow '!I28</f>
        <v>2040655.0763583418</v>
      </c>
    </row>
    <row r="46" spans="1:10">
      <c r="A46" s="94"/>
      <c r="B46" s="95"/>
      <c r="C46" s="95"/>
      <c r="D46" s="95"/>
      <c r="E46" s="95"/>
      <c r="F46" s="95"/>
      <c r="G46" s="95"/>
      <c r="H46" s="95"/>
    </row>
    <row r="47" spans="1:10">
      <c r="A47" s="94" t="s">
        <v>25</v>
      </c>
      <c r="B47" s="95">
        <f>B43-B45</f>
        <v>-1034357.716615496</v>
      </c>
      <c r="C47" s="95">
        <f t="shared" ref="C47:H47" si="8">C43-C45</f>
        <v>534413.30700164894</v>
      </c>
      <c r="D47" s="95">
        <f t="shared" si="8"/>
        <v>1220549.2771566776</v>
      </c>
      <c r="E47" s="95">
        <f t="shared" si="8"/>
        <v>1973732.4359900707</v>
      </c>
      <c r="F47" s="95">
        <f t="shared" si="8"/>
        <v>2798952.1624442805</v>
      </c>
      <c r="G47" s="95">
        <f t="shared" si="8"/>
        <v>3712529.1553843198</v>
      </c>
      <c r="H47" s="95">
        <f t="shared" si="8"/>
        <v>4698136.0921426322</v>
      </c>
    </row>
    <row r="48" spans="1:10">
      <c r="A48" s="94" t="s">
        <v>26</v>
      </c>
      <c r="B48" s="95">
        <f>'3.Other Exp &amp; Taxes'!B99</f>
        <v>-289551.93869087403</v>
      </c>
      <c r="C48" s="95">
        <f>'3.Other Exp &amp; Taxes'!C99</f>
        <v>109940.81968841223</v>
      </c>
      <c r="D48" s="95">
        <f>'3.Other Exp &amp; Taxes'!D99</f>
        <v>287643.56433091941</v>
      </c>
      <c r="E48" s="95">
        <f>'3.Other Exp &amp; Taxes'!E99</f>
        <v>481180.16832745518</v>
      </c>
      <c r="F48" s="95">
        <f>'3.Other Exp &amp; Taxes'!F99</f>
        <v>691955.4295859671</v>
      </c>
      <c r="G48" s="95">
        <f>'3.Other Exp &amp; Taxes'!G99</f>
        <v>924174.33176919236</v>
      </c>
      <c r="H48" s="95">
        <f>'3.Other Exp &amp; Taxes'!H99</f>
        <v>1173855.8881897535</v>
      </c>
    </row>
    <row r="49" spans="1:9">
      <c r="A49" s="96" t="s">
        <v>28</v>
      </c>
      <c r="B49" s="95">
        <f>B47-B48</f>
        <v>-744805.77792462194</v>
      </c>
      <c r="C49" s="95">
        <f>C47-C48</f>
        <v>424472.48731323669</v>
      </c>
      <c r="D49" s="95">
        <f>D47-D48</f>
        <v>932905.71282575815</v>
      </c>
      <c r="E49" s="95">
        <f>E47-E48</f>
        <v>1492552.2676626155</v>
      </c>
      <c r="F49" s="95">
        <f>F47-F48</f>
        <v>2106996.7328583132</v>
      </c>
      <c r="G49" s="95">
        <f t="shared" ref="G49:H49" si="9">G47-G48</f>
        <v>2788354.8236151272</v>
      </c>
      <c r="H49" s="95">
        <f t="shared" si="9"/>
        <v>3524280.2039528787</v>
      </c>
    </row>
    <row r="50" spans="1:9">
      <c r="A50" s="93" t="s">
        <v>510</v>
      </c>
      <c r="B50" s="111">
        <f>B49</f>
        <v>-744805.77792462194</v>
      </c>
      <c r="C50" s="111">
        <f t="shared" ref="C50:H50" si="10">B50+C49</f>
        <v>-320333.29061138525</v>
      </c>
      <c r="D50" s="111">
        <f t="shared" si="10"/>
        <v>612572.4222143729</v>
      </c>
      <c r="E50" s="111">
        <f t="shared" si="10"/>
        <v>2105124.6898769885</v>
      </c>
      <c r="F50" s="111">
        <f t="shared" si="10"/>
        <v>4212121.4227353018</v>
      </c>
      <c r="G50" s="111">
        <f t="shared" si="10"/>
        <v>7000476.246350429</v>
      </c>
      <c r="H50" s="111">
        <f t="shared" si="10"/>
        <v>10524756.450303309</v>
      </c>
    </row>
    <row r="51" spans="1:9" ht="32.450000000000003" customHeight="1">
      <c r="A51" s="446" t="s">
        <v>408</v>
      </c>
      <c r="B51" s="446"/>
      <c r="C51" s="446"/>
      <c r="D51" s="446"/>
      <c r="E51" s="446"/>
      <c r="F51" s="446"/>
      <c r="G51" s="446"/>
      <c r="H51" s="446"/>
      <c r="I51" s="446"/>
    </row>
    <row r="53" spans="1:9">
      <c r="A53" s="275"/>
    </row>
  </sheetData>
  <mergeCells count="2">
    <mergeCell ref="A2:H2"/>
    <mergeCell ref="A51:I51"/>
  </mergeCells>
  <pageMargins left="0.70866141732283472" right="0.70866141732283472" top="0.74803149606299213" bottom="0.74803149606299213" header="0.31496062992125984" footer="0.31496062992125984"/>
  <pageSetup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view="pageBreakPreview" zoomScale="80" zoomScaleSheetLayoutView="80" workbookViewId="0">
      <selection activeCell="A2" sqref="A2:I49"/>
    </sheetView>
  </sheetViews>
  <sheetFormatPr defaultRowHeight="15"/>
  <cols>
    <col min="1" max="1" width="37.28515625" style="53" customWidth="1"/>
    <col min="2" max="2" width="18.42578125" style="53" bestFit="1" customWidth="1"/>
    <col min="3" max="3" width="16.42578125" style="53" customWidth="1"/>
    <col min="4" max="4" width="17" style="53" customWidth="1"/>
    <col min="5" max="5" width="18.5703125" style="53" customWidth="1"/>
    <col min="6" max="6" width="17.28515625" style="53" customWidth="1"/>
    <col min="7" max="7" width="16.140625" style="53" customWidth="1"/>
    <col min="8" max="8" width="15.85546875" style="53"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30"/>
      <c r="B1" s="430"/>
      <c r="C1" s="430"/>
      <c r="D1" s="430"/>
      <c r="E1" s="430"/>
      <c r="F1" s="430"/>
    </row>
    <row r="2" spans="1:18" ht="18.75">
      <c r="A2" s="447" t="s">
        <v>710</v>
      </c>
      <c r="B2" s="415"/>
      <c r="C2" s="415"/>
      <c r="D2" s="415"/>
      <c r="E2" s="415"/>
      <c r="F2" s="415"/>
      <c r="G2" s="415"/>
      <c r="H2" s="415"/>
      <c r="I2" s="84"/>
    </row>
    <row r="3" spans="1:18">
      <c r="A3" s="117" t="s">
        <v>0</v>
      </c>
      <c r="B3" s="118" t="s">
        <v>2</v>
      </c>
      <c r="C3" s="118" t="s">
        <v>3</v>
      </c>
      <c r="D3" s="118" t="s">
        <v>4</v>
      </c>
      <c r="E3" s="118" t="s">
        <v>5</v>
      </c>
      <c r="F3" s="118" t="s">
        <v>6</v>
      </c>
      <c r="G3" s="119" t="s">
        <v>167</v>
      </c>
      <c r="H3" s="119" t="s">
        <v>166</v>
      </c>
    </row>
    <row r="4" spans="1:18" s="54" customFormat="1">
      <c r="A4" s="120"/>
      <c r="B4" s="121"/>
      <c r="C4" s="122"/>
      <c r="D4" s="122"/>
      <c r="E4" s="122"/>
      <c r="F4" s="122"/>
      <c r="G4" s="122"/>
      <c r="H4" s="122"/>
    </row>
    <row r="5" spans="1:18">
      <c r="A5" s="123" t="s">
        <v>49</v>
      </c>
      <c r="B5" s="124"/>
      <c r="C5" s="124"/>
      <c r="D5" s="124"/>
      <c r="E5" s="124"/>
      <c r="F5" s="124"/>
      <c r="G5" s="124"/>
      <c r="H5" s="124"/>
    </row>
    <row r="6" spans="1:18">
      <c r="A6" s="125" t="s">
        <v>50</v>
      </c>
      <c r="B6" s="126"/>
      <c r="C6" s="126"/>
      <c r="D6" s="126"/>
      <c r="E6" s="126"/>
      <c r="F6" s="126"/>
      <c r="G6" s="126"/>
      <c r="H6" s="126"/>
    </row>
    <row r="7" spans="1:18">
      <c r="A7" s="127" t="s">
        <v>249</v>
      </c>
      <c r="B7" s="128">
        <f>'8.Cash Flow '!C33</f>
        <v>3199004.5783234425</v>
      </c>
      <c r="C7" s="128">
        <f>'8.Cash Flow '!D33</f>
        <v>3715627.0934886783</v>
      </c>
      <c r="D7" s="128">
        <f>'8.Cash Flow '!E33</f>
        <v>4740682.8341664299</v>
      </c>
      <c r="E7" s="128">
        <f>'8.Cash Flow '!F33</f>
        <v>6325385.1296810433</v>
      </c>
      <c r="F7" s="128">
        <f>'8.Cash Flow '!G33</f>
        <v>8524531.8903913572</v>
      </c>
      <c r="G7" s="128">
        <f>'8.Cash Flow '!H33</f>
        <v>11394036.74185849</v>
      </c>
      <c r="H7" s="128">
        <f>'8.Cash Flow '!I33</f>
        <v>14999466.973663367</v>
      </c>
      <c r="K7" s="68"/>
      <c r="L7" s="68"/>
      <c r="M7" s="68"/>
      <c r="N7" s="68"/>
      <c r="O7" s="68"/>
      <c r="P7" s="68"/>
      <c r="Q7" s="68"/>
      <c r="R7" s="68"/>
    </row>
    <row r="8" spans="1:18">
      <c r="A8" s="129" t="s">
        <v>250</v>
      </c>
      <c r="B8" s="130"/>
      <c r="C8" s="130"/>
      <c r="D8" s="130"/>
      <c r="E8" s="130"/>
      <c r="F8" s="130"/>
      <c r="G8" s="130"/>
      <c r="H8" s="130"/>
      <c r="K8" s="68"/>
      <c r="L8" s="68"/>
      <c r="M8" s="68"/>
      <c r="N8" s="68"/>
      <c r="O8" s="68"/>
      <c r="P8" s="68"/>
      <c r="Q8" s="68"/>
      <c r="R8" s="68"/>
    </row>
    <row r="9" spans="1:18">
      <c r="A9" s="129" t="s">
        <v>589</v>
      </c>
      <c r="B9" s="130"/>
      <c r="C9" s="130"/>
      <c r="D9" s="130"/>
      <c r="E9" s="130"/>
      <c r="F9" s="130"/>
      <c r="G9" s="130"/>
      <c r="H9" s="130"/>
      <c r="K9" s="68"/>
      <c r="L9" s="68"/>
      <c r="M9" s="68"/>
      <c r="N9" s="68"/>
      <c r="O9" s="68"/>
      <c r="P9" s="68"/>
      <c r="Q9" s="68"/>
      <c r="R9" s="68"/>
    </row>
    <row r="10" spans="1:18">
      <c r="A10" s="125" t="s">
        <v>251</v>
      </c>
      <c r="B10" s="128">
        <f t="shared" ref="B10:H10" si="0">SUM(B7:B9)</f>
        <v>3199004.5783234425</v>
      </c>
      <c r="C10" s="128">
        <f t="shared" si="0"/>
        <v>3715627.0934886783</v>
      </c>
      <c r="D10" s="128">
        <f t="shared" si="0"/>
        <v>4740682.8341664299</v>
      </c>
      <c r="E10" s="128">
        <f t="shared" si="0"/>
        <v>6325385.1296810433</v>
      </c>
      <c r="F10" s="128">
        <f t="shared" si="0"/>
        <v>8524531.8903913572</v>
      </c>
      <c r="G10" s="128">
        <f t="shared" si="0"/>
        <v>11394036.74185849</v>
      </c>
      <c r="H10" s="128">
        <f t="shared" si="0"/>
        <v>14999466.973663367</v>
      </c>
    </row>
    <row r="11" spans="1:18">
      <c r="A11" s="125"/>
      <c r="B11" s="130"/>
      <c r="C11" s="130"/>
      <c r="D11" s="130"/>
      <c r="E11" s="130"/>
      <c r="F11" s="130"/>
      <c r="G11" s="130"/>
      <c r="H11" s="130"/>
      <c r="J11" s="68"/>
      <c r="K11" s="68"/>
      <c r="L11" s="68"/>
      <c r="M11" s="68"/>
      <c r="N11" s="68"/>
      <c r="O11" s="68"/>
      <c r="P11" s="68"/>
      <c r="Q11" s="68"/>
    </row>
    <row r="12" spans="1:18">
      <c r="A12" s="131" t="s">
        <v>252</v>
      </c>
      <c r="B12" s="130">
        <f>'3.Other Exp &amp; Taxes'!C65</f>
        <v>1520000.44</v>
      </c>
      <c r="C12" s="130">
        <f>'3.Other Exp &amp; Taxes'!D65</f>
        <v>1438850.412148</v>
      </c>
      <c r="D12" s="130">
        <f>'3.Other Exp &amp; Taxes'!E65</f>
        <v>1357700.384296</v>
      </c>
      <c r="E12" s="130">
        <f>'3.Other Exp &amp; Taxes'!F65</f>
        <v>1276550.356444</v>
      </c>
      <c r="F12" s="130">
        <f>'3.Other Exp &amp; Taxes'!G65</f>
        <v>1195400.3285920001</v>
      </c>
      <c r="G12" s="130">
        <f>'3.Other Exp &amp; Taxes'!H65</f>
        <v>1114250.3007400001</v>
      </c>
      <c r="H12" s="130">
        <f>'3.Other Exp &amp; Taxes'!I65</f>
        <v>1033100.2728880001</v>
      </c>
    </row>
    <row r="13" spans="1:18">
      <c r="A13" s="131" t="s">
        <v>253</v>
      </c>
      <c r="B13" s="130">
        <f>'3.Other Exp &amp; Taxes'!C66</f>
        <v>81150.027851999999</v>
      </c>
      <c r="C13" s="130">
        <f>'3.Other Exp &amp; Taxes'!D66</f>
        <v>81150.027851999999</v>
      </c>
      <c r="D13" s="130">
        <f>'3.Other Exp &amp; Taxes'!E66</f>
        <v>81150.027851999999</v>
      </c>
      <c r="E13" s="130">
        <f>'3.Other Exp &amp; Taxes'!F66</f>
        <v>81150.027851999999</v>
      </c>
      <c r="F13" s="130">
        <f>'3.Other Exp &amp; Taxes'!G66</f>
        <v>81150.027851999999</v>
      </c>
      <c r="G13" s="130">
        <f>'3.Other Exp &amp; Taxes'!H66</f>
        <v>81150.027851999999</v>
      </c>
      <c r="H13" s="130">
        <f>'3.Other Exp &amp; Taxes'!I66</f>
        <v>81150.027851999999</v>
      </c>
      <c r="K13" s="68"/>
      <c r="L13" s="68"/>
      <c r="M13" s="68"/>
      <c r="N13" s="68"/>
      <c r="O13" s="68"/>
      <c r="P13" s="68"/>
      <c r="Q13" s="68"/>
    </row>
    <row r="14" spans="1:18" s="55" customFormat="1">
      <c r="A14" s="125" t="s">
        <v>198</v>
      </c>
      <c r="B14" s="128">
        <f t="shared" ref="B14:H14" si="1">B12-B13</f>
        <v>1438850.412148</v>
      </c>
      <c r="C14" s="128">
        <f t="shared" si="1"/>
        <v>1357700.384296</v>
      </c>
      <c r="D14" s="128">
        <f t="shared" si="1"/>
        <v>1276550.356444</v>
      </c>
      <c r="E14" s="128">
        <f t="shared" si="1"/>
        <v>1195400.3285920001</v>
      </c>
      <c r="F14" s="128">
        <f t="shared" si="1"/>
        <v>1114250.3007400001</v>
      </c>
      <c r="G14" s="128">
        <f t="shared" si="1"/>
        <v>1033100.2728880001</v>
      </c>
      <c r="H14" s="128">
        <f t="shared" si="1"/>
        <v>951950.24503600015</v>
      </c>
    </row>
    <row r="15" spans="1:18" s="55" customFormat="1">
      <c r="A15" s="125"/>
      <c r="B15" s="128"/>
      <c r="C15" s="128"/>
      <c r="D15" s="128"/>
      <c r="E15" s="128"/>
      <c r="F15" s="128"/>
      <c r="G15" s="128"/>
      <c r="H15" s="128"/>
    </row>
    <row r="16" spans="1:18" s="55" customFormat="1">
      <c r="A16" s="132"/>
      <c r="B16" s="128"/>
      <c r="C16" s="128"/>
      <c r="D16" s="128"/>
      <c r="E16" s="128"/>
      <c r="F16" s="128"/>
      <c r="G16" s="128"/>
      <c r="H16" s="128"/>
    </row>
    <row r="17" spans="1:8" s="55" customFormat="1">
      <c r="A17" s="125" t="s">
        <v>512</v>
      </c>
      <c r="B17" s="128">
        <f>'8.Cash Flow '!C20-'6.Cons Profit &amp; Loss'!B41</f>
        <v>44000</v>
      </c>
      <c r="C17" s="128">
        <f>B17-'6.Cons Profit &amp; Loss'!C41</f>
        <v>33000</v>
      </c>
      <c r="D17" s="128">
        <f>C17-'6.Cons Profit &amp; Loss'!D41</f>
        <v>22000</v>
      </c>
      <c r="E17" s="128">
        <f>D17-'6.Cons Profit &amp; Loss'!E41</f>
        <v>11000</v>
      </c>
      <c r="F17" s="128">
        <f>E17-'6.Cons Profit &amp; Loss'!F41</f>
        <v>0</v>
      </c>
      <c r="G17" s="128">
        <f>F17-'6.Cons Profit &amp; Loss'!G41</f>
        <v>0</v>
      </c>
      <c r="H17" s="128">
        <f>G17-'6.Cons Profit &amp; Loss'!H41</f>
        <v>0</v>
      </c>
    </row>
    <row r="18" spans="1:8">
      <c r="A18" s="131"/>
      <c r="B18" s="130"/>
      <c r="C18" s="130"/>
      <c r="D18" s="130"/>
      <c r="E18" s="130"/>
      <c r="F18" s="130"/>
      <c r="G18" s="130"/>
      <c r="H18" s="130"/>
    </row>
    <row r="19" spans="1:8">
      <c r="A19" s="132" t="s">
        <v>255</v>
      </c>
      <c r="B19" s="133">
        <f t="shared" ref="B19:H19" si="2">B10+B14+B16+B17</f>
        <v>4681854.9904714422</v>
      </c>
      <c r="C19" s="133">
        <f t="shared" si="2"/>
        <v>5106327.4777846783</v>
      </c>
      <c r="D19" s="133">
        <f t="shared" si="2"/>
        <v>6039233.1906104302</v>
      </c>
      <c r="E19" s="133">
        <f t="shared" si="2"/>
        <v>7531785.4582730439</v>
      </c>
      <c r="F19" s="133">
        <f t="shared" si="2"/>
        <v>9638782.1911313571</v>
      </c>
      <c r="G19" s="133">
        <f t="shared" si="2"/>
        <v>12427137.014746491</v>
      </c>
      <c r="H19" s="133">
        <f t="shared" si="2"/>
        <v>15951417.218699368</v>
      </c>
    </row>
    <row r="20" spans="1:8">
      <c r="A20" s="120"/>
      <c r="B20" s="134"/>
      <c r="C20" s="134"/>
      <c r="D20" s="134"/>
      <c r="E20" s="134"/>
      <c r="F20" s="134"/>
      <c r="G20" s="134"/>
      <c r="H20" s="134"/>
    </row>
    <row r="21" spans="1:8">
      <c r="A21" s="123" t="s">
        <v>256</v>
      </c>
      <c r="B21" s="135"/>
      <c r="C21" s="135"/>
      <c r="D21" s="135"/>
      <c r="E21" s="135"/>
      <c r="F21" s="135"/>
      <c r="G21" s="135"/>
      <c r="H21" s="135"/>
    </row>
    <row r="22" spans="1:8">
      <c r="A22" s="125" t="s">
        <v>257</v>
      </c>
      <c r="B22" s="135"/>
      <c r="C22" s="135"/>
      <c r="D22" s="135"/>
      <c r="E22" s="135"/>
      <c r="F22" s="135"/>
      <c r="G22" s="135"/>
      <c r="H22" s="135"/>
    </row>
    <row r="23" spans="1:8">
      <c r="A23" s="129" t="s">
        <v>258</v>
      </c>
      <c r="B23" s="128"/>
      <c r="C23" s="128"/>
      <c r="D23" s="128"/>
      <c r="E23" s="128"/>
      <c r="F23" s="128"/>
      <c r="G23" s="128"/>
      <c r="H23" s="128"/>
    </row>
    <row r="24" spans="1:8">
      <c r="A24" s="129" t="s">
        <v>259</v>
      </c>
      <c r="B24" s="134"/>
      <c r="C24" s="134"/>
      <c r="D24" s="134"/>
      <c r="E24" s="134"/>
      <c r="F24" s="134"/>
      <c r="G24" s="134"/>
      <c r="H24" s="134"/>
    </row>
    <row r="25" spans="1:8" s="54" customFormat="1">
      <c r="A25" s="129" t="s">
        <v>260</v>
      </c>
      <c r="B25" s="128"/>
      <c r="C25" s="128"/>
      <c r="D25" s="128"/>
      <c r="E25" s="128"/>
      <c r="F25" s="128"/>
      <c r="G25" s="128"/>
      <c r="H25" s="128"/>
    </row>
    <row r="26" spans="1:8" s="54" customFormat="1">
      <c r="A26" s="125" t="s">
        <v>261</v>
      </c>
      <c r="B26" s="133">
        <f t="shared" ref="B26:H26" si="3">SUM(B23:B25)</f>
        <v>0</v>
      </c>
      <c r="C26" s="133">
        <f t="shared" si="3"/>
        <v>0</v>
      </c>
      <c r="D26" s="133">
        <f t="shared" si="3"/>
        <v>0</v>
      </c>
      <c r="E26" s="133">
        <f t="shared" si="3"/>
        <v>0</v>
      </c>
      <c r="F26" s="133">
        <f t="shared" si="3"/>
        <v>0</v>
      </c>
      <c r="G26" s="133">
        <f t="shared" si="3"/>
        <v>0</v>
      </c>
      <c r="H26" s="133">
        <f t="shared" si="3"/>
        <v>0</v>
      </c>
    </row>
    <row r="27" spans="1:8" s="54" customFormat="1">
      <c r="A27" s="125" t="s">
        <v>262</v>
      </c>
      <c r="B27" s="133">
        <f>'4.TL repayment sch'!G21</f>
        <v>0</v>
      </c>
      <c r="C27" s="133">
        <f>'4.TL repayment sch'!G33</f>
        <v>0</v>
      </c>
      <c r="D27" s="133">
        <f>'4.TL repayment sch'!G45</f>
        <v>0</v>
      </c>
      <c r="E27" s="133">
        <f>'4.TL repayment sch'!G57</f>
        <v>0</v>
      </c>
      <c r="F27" s="133">
        <f>'4.TL repayment sch'!G69</f>
        <v>0</v>
      </c>
      <c r="G27" s="133">
        <f>'4.TL repayment sch'!G81</f>
        <v>0</v>
      </c>
      <c r="H27" s="133">
        <f>'[1]Term Loan'!J72+'[1]Term Loan'!S72</f>
        <v>0</v>
      </c>
    </row>
    <row r="28" spans="1:8" s="54" customFormat="1">
      <c r="A28" s="125" t="s">
        <v>263</v>
      </c>
      <c r="B28" s="133"/>
      <c r="C28" s="133"/>
      <c r="D28" s="133"/>
      <c r="E28" s="133"/>
      <c r="F28" s="133"/>
      <c r="G28" s="133"/>
      <c r="H28" s="133"/>
    </row>
    <row r="29" spans="1:8" s="54" customFormat="1">
      <c r="A29" s="125"/>
      <c r="B29" s="136"/>
      <c r="C29" s="136"/>
      <c r="D29" s="136"/>
      <c r="E29" s="136"/>
      <c r="F29" s="136"/>
      <c r="G29" s="136"/>
      <c r="H29" s="136"/>
    </row>
    <row r="30" spans="1:8">
      <c r="A30" s="132" t="s">
        <v>264</v>
      </c>
      <c r="B30" s="133">
        <f t="shared" ref="B30:H30" si="4">SUM(B26:B28)</f>
        <v>0</v>
      </c>
      <c r="C30" s="133">
        <f t="shared" si="4"/>
        <v>0</v>
      </c>
      <c r="D30" s="133">
        <f t="shared" si="4"/>
        <v>0</v>
      </c>
      <c r="E30" s="133">
        <f t="shared" si="4"/>
        <v>0</v>
      </c>
      <c r="F30" s="133">
        <f t="shared" si="4"/>
        <v>0</v>
      </c>
      <c r="G30" s="133">
        <f t="shared" si="4"/>
        <v>0</v>
      </c>
      <c r="H30" s="133">
        <f t="shared" si="4"/>
        <v>0</v>
      </c>
    </row>
    <row r="31" spans="1:8">
      <c r="A31" s="120"/>
      <c r="B31" s="137"/>
      <c r="C31" s="137"/>
      <c r="D31" s="137"/>
      <c r="E31" s="137"/>
      <c r="F31" s="137"/>
      <c r="G31" s="137"/>
      <c r="H31" s="137"/>
    </row>
    <row r="32" spans="1:8">
      <c r="A32" s="131" t="s">
        <v>265</v>
      </c>
      <c r="B32" s="130">
        <f>'1.Project Cost and MOF'!E22</f>
        <v>4481660.5043960623</v>
      </c>
      <c r="C32" s="130">
        <f>B32</f>
        <v>4481660.5043960623</v>
      </c>
      <c r="D32" s="130">
        <f t="shared" ref="D32:H33" si="5">C32</f>
        <v>4481660.5043960623</v>
      </c>
      <c r="E32" s="130">
        <f t="shared" si="5"/>
        <v>4481660.5043960623</v>
      </c>
      <c r="F32" s="130">
        <f t="shared" si="5"/>
        <v>4481660.5043960623</v>
      </c>
      <c r="G32" s="130">
        <f t="shared" si="5"/>
        <v>4481660.5043960623</v>
      </c>
      <c r="H32" s="130">
        <f t="shared" si="5"/>
        <v>4481660.5043960623</v>
      </c>
    </row>
    <row r="33" spans="1:8">
      <c r="A33" s="131" t="s">
        <v>513</v>
      </c>
      <c r="B33" s="130">
        <f>'1.Project Cost and MOF'!E20</f>
        <v>945000.26399999997</v>
      </c>
      <c r="C33" s="130">
        <f>B33</f>
        <v>945000.26399999997</v>
      </c>
      <c r="D33" s="130">
        <f t="shared" si="5"/>
        <v>945000.26399999997</v>
      </c>
      <c r="E33" s="130">
        <f t="shared" si="5"/>
        <v>945000.26399999997</v>
      </c>
      <c r="F33" s="130">
        <f t="shared" si="5"/>
        <v>945000.26399999997</v>
      </c>
      <c r="G33" s="130">
        <f t="shared" si="5"/>
        <v>945000.26399999997</v>
      </c>
      <c r="H33" s="130">
        <f t="shared" si="5"/>
        <v>945000.26399999997</v>
      </c>
    </row>
    <row r="34" spans="1:8">
      <c r="A34" s="125" t="s">
        <v>266</v>
      </c>
      <c r="B34" s="130"/>
      <c r="C34" s="130"/>
      <c r="D34" s="130"/>
      <c r="E34" s="130"/>
      <c r="F34" s="130"/>
      <c r="G34" s="130"/>
      <c r="H34" s="130"/>
    </row>
    <row r="35" spans="1:8">
      <c r="A35" s="131" t="s">
        <v>267</v>
      </c>
      <c r="B35" s="130">
        <v>0</v>
      </c>
      <c r="C35" s="130">
        <f t="shared" ref="C35:H35" si="6">B38</f>
        <v>-744805.77792462194</v>
      </c>
      <c r="D35" s="130">
        <f t="shared" si="6"/>
        <v>-320333.29061138525</v>
      </c>
      <c r="E35" s="130">
        <f t="shared" si="6"/>
        <v>612572.4222143729</v>
      </c>
      <c r="F35" s="130">
        <f t="shared" si="6"/>
        <v>2105124.6898769885</v>
      </c>
      <c r="G35" s="130">
        <f t="shared" si="6"/>
        <v>4212121.4227353018</v>
      </c>
      <c r="H35" s="130">
        <f t="shared" si="6"/>
        <v>7000476.246350429</v>
      </c>
    </row>
    <row r="36" spans="1:8">
      <c r="A36" s="131" t="s">
        <v>268</v>
      </c>
      <c r="B36" s="130">
        <f>'6.Cons Profit &amp; Loss'!B50</f>
        <v>-744805.77792462194</v>
      </c>
      <c r="C36" s="130">
        <f>'6.Cons Profit &amp; Loss'!C49</f>
        <v>424472.48731323669</v>
      </c>
      <c r="D36" s="130">
        <f>'6.Cons Profit &amp; Loss'!D49</f>
        <v>932905.71282575815</v>
      </c>
      <c r="E36" s="130">
        <f>'6.Cons Profit &amp; Loss'!E49</f>
        <v>1492552.2676626155</v>
      </c>
      <c r="F36" s="130">
        <f>'6.Cons Profit &amp; Loss'!F49</f>
        <v>2106996.7328583132</v>
      </c>
      <c r="G36" s="130">
        <f>'6.Cons Profit &amp; Loss'!G49</f>
        <v>2788354.8236151272</v>
      </c>
      <c r="H36" s="130">
        <f>'6.Cons Profit &amp; Loss'!H49</f>
        <v>3524280.2039528787</v>
      </c>
    </row>
    <row r="37" spans="1:8">
      <c r="A37" s="131" t="s">
        <v>269</v>
      </c>
      <c r="B37" s="130"/>
      <c r="C37" s="130"/>
      <c r="D37" s="130"/>
      <c r="E37" s="130"/>
      <c r="F37" s="130"/>
      <c r="G37" s="130"/>
      <c r="H37" s="130"/>
    </row>
    <row r="38" spans="1:8">
      <c r="A38" s="131" t="s">
        <v>270</v>
      </c>
      <c r="B38" s="130">
        <f t="shared" ref="B38:H38" si="7">B35+B36-B37</f>
        <v>-744805.77792462194</v>
      </c>
      <c r="C38" s="130">
        <f t="shared" si="7"/>
        <v>-320333.29061138525</v>
      </c>
      <c r="D38" s="130">
        <f t="shared" si="7"/>
        <v>612572.4222143729</v>
      </c>
      <c r="E38" s="130">
        <f t="shared" si="7"/>
        <v>2105124.6898769885</v>
      </c>
      <c r="F38" s="130">
        <f t="shared" si="7"/>
        <v>4212121.4227353018</v>
      </c>
      <c r="G38" s="130">
        <f t="shared" si="7"/>
        <v>7000476.246350429</v>
      </c>
      <c r="H38" s="130">
        <f t="shared" si="7"/>
        <v>10524756.450303309</v>
      </c>
    </row>
    <row r="39" spans="1:8">
      <c r="A39" s="131"/>
      <c r="B39" s="135"/>
      <c r="C39" s="135"/>
      <c r="D39" s="135"/>
      <c r="E39" s="135"/>
      <c r="F39" s="135"/>
      <c r="G39" s="135"/>
      <c r="H39" s="135"/>
    </row>
    <row r="40" spans="1:8">
      <c r="A40" s="138" t="s">
        <v>271</v>
      </c>
      <c r="B40" s="139">
        <f t="shared" ref="B40:H40" si="8">B32+B38+B33</f>
        <v>4681854.9904714404</v>
      </c>
      <c r="C40" s="139">
        <f t="shared" si="8"/>
        <v>5106327.4777846765</v>
      </c>
      <c r="D40" s="139">
        <f t="shared" si="8"/>
        <v>6039233.1906104349</v>
      </c>
      <c r="E40" s="139">
        <f t="shared" si="8"/>
        <v>7531785.4582730513</v>
      </c>
      <c r="F40" s="139">
        <f t="shared" si="8"/>
        <v>9638782.1911313646</v>
      </c>
      <c r="G40" s="139">
        <f t="shared" si="8"/>
        <v>12427137.014746493</v>
      </c>
      <c r="H40" s="139">
        <f t="shared" si="8"/>
        <v>15951417.218699371</v>
      </c>
    </row>
    <row r="41" spans="1:8">
      <c r="A41" s="120"/>
      <c r="B41" s="130"/>
      <c r="C41" s="130"/>
      <c r="D41" s="130"/>
      <c r="E41" s="130"/>
      <c r="F41" s="130"/>
      <c r="G41" s="130"/>
      <c r="H41" s="130"/>
    </row>
    <row r="42" spans="1:8">
      <c r="A42" s="132" t="s">
        <v>272</v>
      </c>
      <c r="B42" s="133">
        <f t="shared" ref="B42:H42" si="9">B30+B40</f>
        <v>4681854.9904714404</v>
      </c>
      <c r="C42" s="133">
        <f t="shared" si="9"/>
        <v>5106327.4777846765</v>
      </c>
      <c r="D42" s="133">
        <f t="shared" si="9"/>
        <v>6039233.1906104349</v>
      </c>
      <c r="E42" s="133">
        <f t="shared" si="9"/>
        <v>7531785.4582730513</v>
      </c>
      <c r="F42" s="133">
        <f t="shared" si="9"/>
        <v>9638782.1911313646</v>
      </c>
      <c r="G42" s="133">
        <f t="shared" si="9"/>
        <v>12427137.014746493</v>
      </c>
      <c r="H42" s="133">
        <f t="shared" si="9"/>
        <v>15951417.218699371</v>
      </c>
    </row>
    <row r="43" spans="1:8">
      <c r="A43" s="120"/>
      <c r="B43" s="140"/>
      <c r="C43" s="140"/>
      <c r="D43" s="140"/>
      <c r="E43" s="140"/>
      <c r="F43" s="140"/>
      <c r="G43" s="140"/>
      <c r="H43" s="140"/>
    </row>
    <row r="44" spans="1:8">
      <c r="A44" s="141" t="s">
        <v>273</v>
      </c>
      <c r="B44" s="142"/>
      <c r="C44" s="142"/>
      <c r="D44" s="142"/>
      <c r="E44" s="142"/>
      <c r="F44" s="142"/>
      <c r="G44" s="142"/>
      <c r="H44" s="142"/>
    </row>
    <row r="45" spans="1:8">
      <c r="A45" s="143" t="s">
        <v>274</v>
      </c>
      <c r="B45" s="144">
        <f t="shared" ref="B45:H45" si="10">B42-B19</f>
        <v>0</v>
      </c>
      <c r="C45" s="144">
        <f t="shared" si="10"/>
        <v>0</v>
      </c>
      <c r="D45" s="144">
        <f t="shared" si="10"/>
        <v>0</v>
      </c>
      <c r="E45" s="144">
        <f t="shared" si="10"/>
        <v>7.4505805969238281E-9</v>
      </c>
      <c r="F45" s="144">
        <f t="shared" si="10"/>
        <v>0</v>
      </c>
      <c r="G45" s="144">
        <f t="shared" si="10"/>
        <v>0</v>
      </c>
      <c r="H45" s="144">
        <f t="shared" si="10"/>
        <v>0</v>
      </c>
    </row>
    <row r="46" spans="1:8">
      <c r="A46" s="143"/>
      <c r="B46" s="144"/>
      <c r="C46" s="144"/>
      <c r="D46" s="144"/>
      <c r="E46" s="144"/>
      <c r="F46" s="144"/>
      <c r="G46" s="144"/>
      <c r="H46" s="144"/>
    </row>
    <row r="47" spans="1:8" ht="15.75" thickBot="1">
      <c r="A47" s="145"/>
      <c r="B47" s="146"/>
      <c r="C47" s="146"/>
      <c r="D47" s="146"/>
      <c r="E47" s="146"/>
      <c r="F47" s="146"/>
      <c r="G47" s="146"/>
      <c r="H47" s="146"/>
    </row>
    <row r="48" spans="1:8">
      <c r="B48" s="56"/>
      <c r="C48" s="56"/>
      <c r="D48" s="56"/>
      <c r="E48" s="56"/>
      <c r="F48" s="56"/>
      <c r="G48" s="56"/>
      <c r="H48" s="56"/>
    </row>
    <row r="49" spans="1:9" ht="39.6" customHeight="1">
      <c r="A49" s="448" t="s">
        <v>409</v>
      </c>
      <c r="B49" s="449"/>
      <c r="C49" s="449"/>
      <c r="D49" s="449"/>
      <c r="E49" s="449"/>
      <c r="F49" s="449"/>
      <c r="G49" s="449"/>
      <c r="H49" s="449"/>
      <c r="I49" s="449"/>
    </row>
  </sheetData>
  <mergeCells count="3">
    <mergeCell ref="A1:F1"/>
    <mergeCell ref="A2:H2"/>
    <mergeCell ref="A49:I49"/>
  </mergeCells>
  <conditionalFormatting sqref="B35:F37 B36:H36">
    <cfRule type="cellIs" dxfId="2" priority="3" operator="lessThan">
      <formula>0</formula>
    </cfRule>
  </conditionalFormatting>
  <conditionalFormatting sqref="G35:G37">
    <cfRule type="cellIs" dxfId="1" priority="2" operator="lessThan">
      <formula>0</formula>
    </cfRule>
  </conditionalFormatting>
  <conditionalFormatting sqref="H35:H37">
    <cfRule type="cellIs" dxfId="0" priority="1" operator="lessThan">
      <formula>0</formula>
    </cfRule>
  </conditionalFormatting>
  <pageMargins left="0.70866141732283472" right="0.70866141732283472" top="0.74803149606299213" bottom="0.74803149606299213" header="0.31496062992125984" footer="0.31496062992125984"/>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80" zoomScaleSheetLayoutView="80" workbookViewId="0">
      <selection activeCell="A2" sqref="A2:J35"/>
    </sheetView>
  </sheetViews>
  <sheetFormatPr defaultRowHeight="15"/>
  <cols>
    <col min="1" max="1" width="3.5703125" bestFit="1" customWidth="1"/>
    <col min="2" max="2" width="35.7109375" bestFit="1" customWidth="1"/>
    <col min="3" max="3" width="16.85546875" customWidth="1"/>
    <col min="4" max="4" width="17.140625" customWidth="1"/>
    <col min="5" max="5" width="17.28515625" customWidth="1"/>
    <col min="6" max="6" width="17.7109375" customWidth="1"/>
    <col min="7" max="7" width="18.85546875" customWidth="1"/>
    <col min="8" max="8" width="17.85546875" customWidth="1"/>
    <col min="9" max="9" width="18.28515625" customWidth="1"/>
  </cols>
  <sheetData>
    <row r="1" spans="1:10">
      <c r="A1" s="430"/>
      <c r="B1" s="430"/>
      <c r="C1" s="430"/>
      <c r="D1" s="430"/>
      <c r="E1" s="430"/>
      <c r="F1" s="430"/>
      <c r="G1" s="430"/>
    </row>
    <row r="2" spans="1:10" ht="18.75">
      <c r="A2" s="415" t="s">
        <v>709</v>
      </c>
      <c r="B2" s="415"/>
      <c r="C2" s="415"/>
      <c r="D2" s="415"/>
      <c r="E2" s="415"/>
      <c r="F2" s="415"/>
      <c r="G2" s="415"/>
      <c r="H2" s="415"/>
      <c r="I2" s="415"/>
      <c r="J2" s="84"/>
    </row>
    <row r="4" spans="1:10">
      <c r="A4" s="58" t="s">
        <v>230</v>
      </c>
      <c r="B4" s="58" t="s">
        <v>0</v>
      </c>
      <c r="C4" s="59" t="s">
        <v>2</v>
      </c>
      <c r="D4" s="59" t="s">
        <v>3</v>
      </c>
      <c r="E4" s="59" t="s">
        <v>4</v>
      </c>
      <c r="F4" s="59" t="s">
        <v>5</v>
      </c>
      <c r="G4" s="59" t="s">
        <v>6</v>
      </c>
      <c r="H4" s="59" t="s">
        <v>167</v>
      </c>
      <c r="I4" s="59" t="s">
        <v>166</v>
      </c>
    </row>
    <row r="5" spans="1:10">
      <c r="A5" s="40">
        <v>1</v>
      </c>
      <c r="B5" s="40" t="s">
        <v>7</v>
      </c>
      <c r="C5" s="41"/>
      <c r="D5" s="41"/>
      <c r="E5" s="41"/>
      <c r="F5" s="41"/>
      <c r="G5" s="41"/>
      <c r="H5" s="41"/>
      <c r="I5" s="41"/>
    </row>
    <row r="6" spans="1:10">
      <c r="A6" s="40"/>
      <c r="B6" s="42" t="s">
        <v>363</v>
      </c>
      <c r="C6" s="41">
        <f>'6.Cons Profit &amp; Loss'!B13</f>
        <v>10169006.693999998</v>
      </c>
      <c r="D6" s="41">
        <f>'6.Cons Profit &amp; Loss'!C13</f>
        <v>19396046.561849996</v>
      </c>
      <c r="E6" s="41">
        <f>'6.Cons Profit &amp; Loss'!D13</f>
        <v>23599970.729054995</v>
      </c>
      <c r="F6" s="41">
        <f>'6.Cons Profit &amp; Loss'!E13</f>
        <v>28175797.196575869</v>
      </c>
      <c r="G6" s="41">
        <f>'6.Cons Profit &amp; Loss'!F13</f>
        <v>33150206.384026196</v>
      </c>
      <c r="H6" s="41">
        <f>'6.Cons Profit &amp; Loss'!G13</f>
        <v>38551616.99723012</v>
      </c>
      <c r="I6" s="41">
        <f>'6.Cons Profit &amp; Loss'!H13</f>
        <v>44410293.155794375</v>
      </c>
    </row>
    <row r="7" spans="1:10">
      <c r="A7" s="40">
        <v>2</v>
      </c>
      <c r="B7" s="40" t="s">
        <v>231</v>
      </c>
      <c r="C7" s="41">
        <f>'1.Project Cost and MOF'!E22</f>
        <v>4481660.5043960623</v>
      </c>
      <c r="D7" s="41"/>
      <c r="E7" s="41"/>
      <c r="F7" s="41"/>
      <c r="G7" s="41"/>
      <c r="H7" s="41"/>
      <c r="I7" s="41"/>
    </row>
    <row r="8" spans="1:10">
      <c r="A8" s="40"/>
      <c r="B8" s="40" t="s">
        <v>292</v>
      </c>
      <c r="C8" s="41"/>
      <c r="D8" s="41"/>
      <c r="E8" s="41"/>
      <c r="F8" s="41"/>
      <c r="G8" s="41"/>
      <c r="H8" s="41"/>
      <c r="I8" s="41"/>
    </row>
    <row r="9" spans="1:10">
      <c r="A9" s="40">
        <v>3</v>
      </c>
      <c r="B9" s="40" t="str">
        <f>'7.Balance Sheet'!A33</f>
        <v>Smart Grant -in-Aid</v>
      </c>
      <c r="C9" s="41">
        <f>'1.Project Cost and MOF'!E20</f>
        <v>945000.26399999997</v>
      </c>
      <c r="D9" s="41"/>
      <c r="E9" s="41"/>
      <c r="F9" s="41"/>
      <c r="G9" s="41"/>
      <c r="H9" s="41"/>
      <c r="I9" s="41"/>
    </row>
    <row r="10" spans="1:10">
      <c r="A10" s="40">
        <v>4</v>
      </c>
      <c r="B10" s="40" t="s">
        <v>232</v>
      </c>
      <c r="C10" s="41">
        <f>'1.Project Cost and MOF'!E21</f>
        <v>0</v>
      </c>
      <c r="D10" s="41"/>
      <c r="E10" s="41"/>
      <c r="F10" s="41"/>
      <c r="G10" s="41"/>
      <c r="H10" s="41"/>
      <c r="I10" s="41"/>
    </row>
    <row r="11" spans="1:10">
      <c r="A11" s="40">
        <v>5</v>
      </c>
      <c r="B11" s="40" t="s">
        <v>233</v>
      </c>
      <c r="C11" s="41">
        <f>'5.Closing Stock &amp; W Capital'!E50*75%</f>
        <v>4444223.4558416102</v>
      </c>
      <c r="D11" s="41">
        <f>'5.Closing Stock &amp; W Capital'!F50</f>
        <v>7690949.4268836472</v>
      </c>
      <c r="E11" s="41">
        <f>'5.Closing Stock &amp; W Capital'!G50</f>
        <v>9258484.1544433031</v>
      </c>
      <c r="F11" s="41">
        <f>'5.Closing Stock &amp; W Capital'!H50</f>
        <v>10963544.981191717</v>
      </c>
      <c r="G11" s="41">
        <f>'5.Closing Stock &amp; W Capital'!I50</f>
        <v>12815965.680228867</v>
      </c>
      <c r="H11" s="41">
        <f>'5.Closing Stock &amp; W Capital'!J50</f>
        <v>14826219.586716747</v>
      </c>
      <c r="I11" s="41">
        <f>'5.Closing Stock &amp; W Capital'!K50</f>
        <v>17005458.96965285</v>
      </c>
    </row>
    <row r="12" spans="1:10">
      <c r="A12" s="40"/>
      <c r="B12" s="40" t="s">
        <v>234</v>
      </c>
      <c r="C12" s="43">
        <f t="shared" ref="C12:I12" si="0">SUM(C6:C11)</f>
        <v>20039890.918237671</v>
      </c>
      <c r="D12" s="43">
        <f t="shared" si="0"/>
        <v>27086995.988733642</v>
      </c>
      <c r="E12" s="43">
        <f t="shared" si="0"/>
        <v>32858454.883498296</v>
      </c>
      <c r="F12" s="43">
        <f t="shared" si="0"/>
        <v>39139342.17776759</v>
      </c>
      <c r="G12" s="43">
        <f t="shared" si="0"/>
        <v>45966172.064255059</v>
      </c>
      <c r="H12" s="43">
        <f t="shared" si="0"/>
        <v>53377836.583946869</v>
      </c>
      <c r="I12" s="43">
        <f t="shared" si="0"/>
        <v>61415752.125447229</v>
      </c>
    </row>
    <row r="13" spans="1:10">
      <c r="A13" s="450" t="s">
        <v>235</v>
      </c>
      <c r="B13" s="450"/>
      <c r="C13" s="44"/>
      <c r="D13" s="44"/>
      <c r="E13" s="44"/>
      <c r="F13" s="44"/>
      <c r="G13" s="44"/>
      <c r="H13" s="44"/>
      <c r="I13" s="44"/>
    </row>
    <row r="14" spans="1:10">
      <c r="A14" s="40">
        <v>1</v>
      </c>
      <c r="B14" s="40" t="s">
        <v>236</v>
      </c>
      <c r="C14" s="44"/>
      <c r="D14" s="44"/>
      <c r="E14" s="44"/>
      <c r="F14" s="44"/>
      <c r="G14" s="44"/>
      <c r="H14" s="44"/>
      <c r="I14" s="44"/>
    </row>
    <row r="15" spans="1:10">
      <c r="A15" s="45" t="s">
        <v>237</v>
      </c>
      <c r="B15" s="44" t="str">
        <f>'[1]Total Cost of Project'!C3</f>
        <v>Land and Building</v>
      </c>
      <c r="C15" s="46">
        <f>'1.Project Cost and MOF'!D6</f>
        <v>500000</v>
      </c>
      <c r="D15" s="46"/>
      <c r="E15" s="46"/>
      <c r="F15" s="46"/>
      <c r="G15" s="46"/>
      <c r="H15" s="46"/>
      <c r="I15" s="46"/>
    </row>
    <row r="16" spans="1:10">
      <c r="A16" s="45" t="s">
        <v>238</v>
      </c>
      <c r="B16" s="47" t="str">
        <f>'[1]Total Cost of Project'!C4</f>
        <v>Machinery and Equipment</v>
      </c>
      <c r="C16" s="46">
        <f>'1.Project Cost and MOF'!D7</f>
        <v>1000000.44</v>
      </c>
      <c r="D16" s="46"/>
      <c r="E16" s="46"/>
      <c r="F16" s="46"/>
      <c r="G16" s="46"/>
      <c r="H16" s="46"/>
      <c r="I16" s="46"/>
    </row>
    <row r="17" spans="1:9">
      <c r="A17" s="45" t="s">
        <v>275</v>
      </c>
      <c r="B17" s="47" t="s">
        <v>330</v>
      </c>
      <c r="C17" s="46">
        <f>'1.Project Cost and MOF'!D8</f>
        <v>10000</v>
      </c>
      <c r="D17" s="46"/>
      <c r="E17" s="46"/>
      <c r="F17" s="46"/>
      <c r="G17" s="46"/>
      <c r="H17" s="46"/>
      <c r="I17" s="46"/>
    </row>
    <row r="18" spans="1:9">
      <c r="A18" s="45" t="s">
        <v>277</v>
      </c>
      <c r="B18" s="47" t="s">
        <v>332</v>
      </c>
      <c r="C18" s="46">
        <f>'1.Project Cost and MOF'!D9</f>
        <v>10000</v>
      </c>
      <c r="D18" s="46"/>
      <c r="E18" s="46"/>
      <c r="F18" s="46"/>
      <c r="G18" s="46"/>
      <c r="H18" s="46"/>
      <c r="I18" s="46"/>
    </row>
    <row r="19" spans="1:9">
      <c r="A19" s="45" t="s">
        <v>333</v>
      </c>
      <c r="B19" s="47" t="s">
        <v>276</v>
      </c>
      <c r="C19" s="46">
        <f>'1.Project Cost and MOF'!D10</f>
        <v>0</v>
      </c>
      <c r="D19" s="41"/>
      <c r="E19" s="41"/>
      <c r="F19" s="41"/>
      <c r="G19" s="41"/>
      <c r="H19" s="41"/>
      <c r="I19" s="41"/>
    </row>
    <row r="20" spans="1:9">
      <c r="A20" s="45" t="s">
        <v>334</v>
      </c>
      <c r="B20" s="47" t="s">
        <v>278</v>
      </c>
      <c r="C20" s="46">
        <f>'1.Project Cost and MOF'!D11</f>
        <v>55000</v>
      </c>
      <c r="D20" s="41"/>
      <c r="E20" s="41"/>
      <c r="F20" s="41"/>
      <c r="G20" s="41"/>
      <c r="H20" s="41"/>
      <c r="I20" s="41"/>
    </row>
    <row r="21" spans="1:9">
      <c r="A21" s="40">
        <v>2</v>
      </c>
      <c r="B21" s="40" t="s">
        <v>239</v>
      </c>
      <c r="C21" s="44"/>
      <c r="D21" s="44"/>
      <c r="E21" s="44"/>
      <c r="F21" s="44"/>
      <c r="G21" s="44"/>
      <c r="H21" s="44"/>
      <c r="I21" s="44"/>
    </row>
    <row r="22" spans="1:9">
      <c r="A22" s="45" t="s">
        <v>237</v>
      </c>
      <c r="B22" s="44" t="s">
        <v>312</v>
      </c>
      <c r="C22" s="73">
        <f>'6.Cons Profit &amp; Loss'!B23</f>
        <v>8070907.568062501</v>
      </c>
      <c r="D22" s="73">
        <f>'6.Cons Profit &amp; Loss'!C23</f>
        <v>15214219.295770312</v>
      </c>
      <c r="E22" s="73">
        <f>'6.Cons Profit &amp; Loss'!D23</f>
        <v>18412285.825513121</v>
      </c>
      <c r="F22" s="73">
        <f>'6.Cons Profit &amp; Loss'!E23</f>
        <v>21892123.459990792</v>
      </c>
      <c r="G22" s="73">
        <f>'6.Cons Profit &amp; Loss'!F23</f>
        <v>25673914.143352453</v>
      </c>
      <c r="H22" s="73">
        <f>'6.Cons Profit &amp; Loss'!G23</f>
        <v>29779153.586400289</v>
      </c>
      <c r="I22" s="73">
        <f>'6.Cons Profit &amp; Loss'!H23</f>
        <v>34230732.188394524</v>
      </c>
    </row>
    <row r="23" spans="1:9">
      <c r="A23" s="45" t="s">
        <v>238</v>
      </c>
      <c r="B23" s="44" t="s">
        <v>310</v>
      </c>
      <c r="C23" s="41">
        <f>'6.Cons Profit &amp; Loss'!B34</f>
        <v>2507000</v>
      </c>
      <c r="D23" s="41">
        <f>'6.Cons Profit &amp; Loss'!C34</f>
        <v>2632350</v>
      </c>
      <c r="E23" s="41">
        <f>'6.Cons Profit &amp; Loss'!D34</f>
        <v>2763967.5</v>
      </c>
      <c r="F23" s="41">
        <f>'6.Cons Profit &amp; Loss'!E34</f>
        <v>2902165.8750000005</v>
      </c>
      <c r="G23" s="41">
        <f>'6.Cons Profit &amp; Loss'!F34</f>
        <v>3047274.1687500007</v>
      </c>
      <c r="H23" s="41">
        <f>'6.Cons Profit &amp; Loss'!G34</f>
        <v>3199637.8771875007</v>
      </c>
      <c r="I23" s="41">
        <f>'6.Cons Profit &amp; Loss'!H34</f>
        <v>3359619.771046876</v>
      </c>
    </row>
    <row r="24" spans="1:9">
      <c r="A24" s="48">
        <v>3</v>
      </c>
      <c r="B24" s="40" t="s">
        <v>511</v>
      </c>
      <c r="C24" s="41"/>
      <c r="D24" s="41"/>
      <c r="E24" s="41"/>
      <c r="F24" s="41"/>
      <c r="G24" s="41"/>
      <c r="H24" s="41"/>
      <c r="I24" s="41"/>
    </row>
    <row r="25" spans="1:9">
      <c r="A25" s="45"/>
      <c r="B25" s="44" t="s">
        <v>240</v>
      </c>
      <c r="C25" s="41">
        <f>SUM('4.TL repayment sch'!E10:E21)</f>
        <v>0</v>
      </c>
      <c r="D25" s="41">
        <f>SUM('4.TL repayment sch'!E22:E33)</f>
        <v>0</v>
      </c>
      <c r="E25" s="41">
        <f>SUM('4.TL repayment sch'!E34:E45)</f>
        <v>0</v>
      </c>
      <c r="F25" s="41">
        <f>SUM('4.TL repayment sch'!E46:E57)</f>
        <v>0</v>
      </c>
      <c r="G25" s="41">
        <f>SUM('4.TL repayment sch'!E58:E69)</f>
        <v>0</v>
      </c>
      <c r="H25" s="41">
        <f>SUM('4.TL repayment sch'!E70:E81)</f>
        <v>0</v>
      </c>
      <c r="I25" s="41">
        <f>SUM('4.TL repayment sch'!E82:E93)</f>
        <v>0</v>
      </c>
    </row>
    <row r="26" spans="1:9">
      <c r="A26" s="45"/>
      <c r="B26" s="44" t="s">
        <v>241</v>
      </c>
      <c r="C26" s="41">
        <f>SUM('4.TL repayment sch'!D10:D21)</f>
        <v>0</v>
      </c>
      <c r="D26" s="41">
        <f>SUM('4.TL repayment sch'!D22:D33)</f>
        <v>0</v>
      </c>
      <c r="E26" s="41">
        <f>SUM('4.TL repayment sch'!D34:D45)</f>
        <v>0</v>
      </c>
      <c r="F26" s="41">
        <f>SUM('4.TL repayment sch'!D46:D57)</f>
        <v>0</v>
      </c>
      <c r="G26" s="41">
        <f>SUM('4.TL repayment sch'!D58:D69)</f>
        <v>0</v>
      </c>
      <c r="H26" s="41">
        <f>SUM('4.TL repayment sch'!D70:D81)</f>
        <v>0</v>
      </c>
      <c r="I26" s="41">
        <f>SUM('4.TL repayment sch'!D82:D93)</f>
        <v>0</v>
      </c>
    </row>
    <row r="27" spans="1:9">
      <c r="A27" s="45"/>
      <c r="B27" s="44" t="s">
        <v>242</v>
      </c>
      <c r="C27" s="41">
        <f t="shared" ref="C27:I27" si="1">C11</f>
        <v>4444223.4558416102</v>
      </c>
      <c r="D27" s="41">
        <f t="shared" si="1"/>
        <v>7690949.4268836472</v>
      </c>
      <c r="E27" s="41">
        <f t="shared" si="1"/>
        <v>9258484.1544433031</v>
      </c>
      <c r="F27" s="41">
        <f t="shared" si="1"/>
        <v>10963544.981191717</v>
      </c>
      <c r="G27" s="41">
        <f t="shared" si="1"/>
        <v>12815965.680228867</v>
      </c>
      <c r="H27" s="41">
        <f t="shared" si="1"/>
        <v>14826219.586716747</v>
      </c>
      <c r="I27" s="41">
        <f t="shared" si="1"/>
        <v>17005458.96965285</v>
      </c>
    </row>
    <row r="28" spans="1:9">
      <c r="A28" s="45"/>
      <c r="B28" s="44" t="s">
        <v>243</v>
      </c>
      <c r="C28" s="49">
        <f>C27*12%</f>
        <v>533306.81470099324</v>
      </c>
      <c r="D28" s="49">
        <f t="shared" ref="D28:G28" si="2">D27*12%</f>
        <v>922913.93122603768</v>
      </c>
      <c r="E28" s="49">
        <f t="shared" si="2"/>
        <v>1111018.0985331964</v>
      </c>
      <c r="F28" s="49">
        <f t="shared" si="2"/>
        <v>1315625.397743006</v>
      </c>
      <c r="G28" s="49">
        <f t="shared" si="2"/>
        <v>1537915.881627464</v>
      </c>
      <c r="H28" s="49">
        <f t="shared" ref="H28:I28" si="3">H27*12%</f>
        <v>1779146.3504060095</v>
      </c>
      <c r="I28" s="49">
        <f t="shared" si="3"/>
        <v>2040655.0763583418</v>
      </c>
    </row>
    <row r="29" spans="1:9">
      <c r="A29" s="40">
        <v>4</v>
      </c>
      <c r="B29" s="40" t="s">
        <v>244</v>
      </c>
      <c r="C29" s="41">
        <f>'6.Cons Profit &amp; Loss'!B48</f>
        <v>-289551.93869087403</v>
      </c>
      <c r="D29" s="41">
        <f>'6.Cons Profit &amp; Loss'!C48</f>
        <v>109940.81968841223</v>
      </c>
      <c r="E29" s="41">
        <f>'6.Cons Profit &amp; Loss'!D48</f>
        <v>287643.56433091941</v>
      </c>
      <c r="F29" s="41">
        <f>'6.Cons Profit &amp; Loss'!E48</f>
        <v>481180.16832745518</v>
      </c>
      <c r="G29" s="41">
        <f>'6.Cons Profit &amp; Loss'!F48</f>
        <v>691955.4295859671</v>
      </c>
      <c r="H29" s="41">
        <f>'6.Cons Profit &amp; Loss'!G48</f>
        <v>924174.33176919236</v>
      </c>
      <c r="I29" s="41">
        <f>'6.Cons Profit &amp; Loss'!H48</f>
        <v>1173855.8881897535</v>
      </c>
    </row>
    <row r="30" spans="1:9">
      <c r="A30" s="40"/>
      <c r="B30" s="40" t="s">
        <v>245</v>
      </c>
      <c r="C30" s="50">
        <f t="shared" ref="C30:I30" si="4">SUM(C15:C29)</f>
        <v>16840886.339914229</v>
      </c>
      <c r="D30" s="50">
        <f t="shared" si="4"/>
        <v>26570373.473568406</v>
      </c>
      <c r="E30" s="50">
        <f t="shared" si="4"/>
        <v>31833399.142820545</v>
      </c>
      <c r="F30" s="50">
        <f t="shared" si="4"/>
        <v>37554639.882252976</v>
      </c>
      <c r="G30" s="50">
        <f t="shared" si="4"/>
        <v>43767025.303544745</v>
      </c>
      <c r="H30" s="50">
        <f t="shared" si="4"/>
        <v>50508331.732479736</v>
      </c>
      <c r="I30" s="50">
        <f t="shared" si="4"/>
        <v>57810321.893642351</v>
      </c>
    </row>
    <row r="31" spans="1:9">
      <c r="A31" s="40"/>
      <c r="B31" s="40" t="s">
        <v>246</v>
      </c>
      <c r="C31" s="50">
        <f t="shared" ref="C31:I31" si="5">C12-C30</f>
        <v>3199004.5783234425</v>
      </c>
      <c r="D31" s="50">
        <f t="shared" si="5"/>
        <v>516622.51516523585</v>
      </c>
      <c r="E31" s="50">
        <f t="shared" si="5"/>
        <v>1025055.7406777516</v>
      </c>
      <c r="F31" s="50">
        <f t="shared" si="5"/>
        <v>1584702.2955146134</v>
      </c>
      <c r="G31" s="50">
        <f t="shared" si="5"/>
        <v>2199146.7607103139</v>
      </c>
      <c r="H31" s="50">
        <f t="shared" si="5"/>
        <v>2869504.8514671326</v>
      </c>
      <c r="I31" s="50">
        <f t="shared" si="5"/>
        <v>3605430.2318048775</v>
      </c>
    </row>
    <row r="32" spans="1:9">
      <c r="A32" s="48"/>
      <c r="B32" s="44" t="s">
        <v>247</v>
      </c>
      <c r="C32" s="44"/>
      <c r="D32" s="51">
        <f t="shared" ref="D32:I32" si="6">C33</f>
        <v>3199004.5783234425</v>
      </c>
      <c r="E32" s="51">
        <f t="shared" si="6"/>
        <v>3715627.0934886783</v>
      </c>
      <c r="F32" s="51">
        <f t="shared" si="6"/>
        <v>4740682.8341664299</v>
      </c>
      <c r="G32" s="51">
        <f t="shared" si="6"/>
        <v>6325385.1296810433</v>
      </c>
      <c r="H32" s="51">
        <f t="shared" si="6"/>
        <v>8524531.8903913572</v>
      </c>
      <c r="I32" s="51">
        <f t="shared" si="6"/>
        <v>11394036.74185849</v>
      </c>
    </row>
    <row r="33" spans="1:10">
      <c r="A33" s="40"/>
      <c r="B33" s="52" t="s">
        <v>248</v>
      </c>
      <c r="C33" s="50">
        <f t="shared" ref="C33:I33" si="7">C31+C32</f>
        <v>3199004.5783234425</v>
      </c>
      <c r="D33" s="50">
        <f t="shared" si="7"/>
        <v>3715627.0934886783</v>
      </c>
      <c r="E33" s="50">
        <f t="shared" si="7"/>
        <v>4740682.8341664299</v>
      </c>
      <c r="F33" s="50">
        <f t="shared" si="7"/>
        <v>6325385.1296810433</v>
      </c>
      <c r="G33" s="50">
        <f t="shared" si="7"/>
        <v>8524531.8903913572</v>
      </c>
      <c r="H33" s="50">
        <f t="shared" si="7"/>
        <v>11394036.74185849</v>
      </c>
      <c r="I33" s="50">
        <f t="shared" si="7"/>
        <v>14999466.973663367</v>
      </c>
    </row>
    <row r="35" spans="1:10" ht="39.950000000000003" customHeight="1">
      <c r="A35" s="451" t="s">
        <v>410</v>
      </c>
      <c r="B35" s="451"/>
      <c r="C35" s="451"/>
      <c r="D35" s="451"/>
      <c r="E35" s="451"/>
      <c r="F35" s="451"/>
      <c r="G35" s="451"/>
      <c r="H35" s="451"/>
      <c r="I35" s="451"/>
      <c r="J35" s="451"/>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2022-05-24T07:38:52Z</dcterms:modified>
</cp:coreProperties>
</file>